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BJu5oLmGKUjZUxsW31H4T7Hmwoys+C1Lo1aCiLYWuKi/sbUuFCGTn09lU+I55rE0KKnDiibtUqFoIt+HdFzKUg==" workbookSaltValue="9VHXp3v/xc+I5S51HdgxR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S20" i="14" s="1"/>
  <c r="V20" i="14" s="1"/>
  <c r="F16" i="11"/>
  <c r="AQ16" i="11" s="1"/>
  <c r="EP31" i="8"/>
  <c r="AL14" i="16"/>
  <c r="AJ14" i="16"/>
  <c r="EP31" i="19"/>
  <c r="T9" i="11"/>
  <c r="BH16" i="11"/>
  <c r="BF29" i="11"/>
  <c r="S14" i="16"/>
  <c r="P14" i="16"/>
  <c r="F13" i="16"/>
  <c r="R30" i="17"/>
  <c r="K26" i="2"/>
  <c r="N26" i="2"/>
  <c r="M23" i="2"/>
  <c r="K30" i="2"/>
  <c r="F30" i="17"/>
  <c r="F26" i="17"/>
  <c r="F14" i="7"/>
  <c r="BF22" i="11"/>
  <c r="BJ16" i="11"/>
  <c r="AP16" i="20"/>
  <c r="V20" i="11"/>
  <c r="BG19" i="11"/>
  <c r="BL29" i="11"/>
  <c r="BW20" i="20"/>
  <c r="BV18" i="16"/>
  <c r="BV12" i="16"/>
  <c r="BV16" i="16"/>
  <c r="U10" i="17"/>
  <c r="BU18" i="17"/>
  <c r="BU12" i="17"/>
  <c r="T16" i="11"/>
  <c r="BH10" i="11"/>
  <c r="AO29" i="17"/>
  <c r="BI29" i="11"/>
  <c r="BM21" i="11"/>
  <c r="BI22" i="11"/>
  <c r="BK10" i="11"/>
  <c r="T14" i="20"/>
  <c r="BB26" i="13"/>
  <c r="BF16" i="8"/>
  <c r="BD9" i="8"/>
  <c r="L10" i="2"/>
  <c r="X21" i="20"/>
  <c r="AH14" i="16"/>
  <c r="L16" i="2"/>
  <c r="L18" i="2"/>
  <c r="AO14" i="21"/>
  <c r="X16" i="16"/>
  <c r="X23" i="16" s="1"/>
  <c r="L9" i="2"/>
  <c r="AP14" i="16"/>
  <c r="V25" i="16"/>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T31" i="8"/>
  <c r="AA11" i="16"/>
  <c r="L17" i="2"/>
  <c r="L28" i="2"/>
  <c r="BI21" i="11"/>
  <c r="BH25" i="11"/>
  <c r="AQ12" i="21"/>
  <c r="BG17" i="11"/>
  <c r="S10" i="17"/>
  <c r="AQ10" i="21"/>
  <c r="Q18" i="17"/>
  <c r="S28" i="17"/>
  <c r="V12" i="16"/>
  <c r="BV10" i="16"/>
  <c r="BW16" i="20"/>
  <c r="BW12" i="20"/>
  <c r="BW18" i="20"/>
  <c r="BV19" i="16"/>
  <c r="T16" i="16"/>
  <c r="AZ9" i="11"/>
  <c r="AZ31" i="11" s="1"/>
  <c r="BL25" i="11"/>
  <c r="Q25" i="11" s="1"/>
  <c r="R25" i="14"/>
  <c r="AP22" i="20"/>
  <c r="BI16" i="11"/>
  <c r="BJ21" i="11"/>
  <c r="BK19" i="11"/>
  <c r="P18" i="17"/>
  <c r="X12" i="21"/>
  <c r="BF11" i="11"/>
  <c r="BH21" i="16"/>
  <c r="BL9" i="11"/>
  <c r="BH18" i="16"/>
  <c r="BF19" i="11"/>
  <c r="BJ19" i="11"/>
  <c r="BL18" i="11"/>
  <c r="BI28" i="11"/>
  <c r="BK12" i="11"/>
  <c r="BF25" i="11"/>
  <c r="S18" i="16"/>
  <c r="S23" i="16" s="1"/>
  <c r="AZ29" i="11"/>
  <c r="V18" i="16"/>
  <c r="S9" i="17"/>
  <c r="BG29" i="11"/>
  <c r="BI10" i="11"/>
  <c r="Q10" i="21"/>
  <c r="BM25" i="11"/>
  <c r="BK25"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X13" i="16"/>
  <c r="V9" i="16"/>
  <c r="V10" i="16"/>
  <c r="U9" i="17"/>
  <c r="U31" i="17" s="1"/>
  <c r="L20" i="2"/>
  <c r="X10" i="21"/>
  <c r="X19" i="16"/>
  <c r="L12" i="2"/>
  <c r="S17" i="17"/>
  <c r="S16" i="17"/>
  <c r="X22" i="16"/>
  <c r="L22" i="2"/>
  <c r="X12" i="17"/>
  <c r="BH22" i="11"/>
  <c r="BL17" i="11"/>
  <c r="BK22" i="11"/>
  <c r="BJ17" i="11"/>
  <c r="BH12" i="16"/>
  <c r="AO25" i="17"/>
  <c r="BM9" i="11"/>
  <c r="S18" i="17"/>
  <c r="BH11" i="11"/>
  <c r="BH10" i="16"/>
  <c r="BL10" i="11"/>
  <c r="BL28" i="11"/>
  <c r="BI9" i="11"/>
  <c r="BI20" i="11"/>
  <c r="BG12" i="11"/>
  <c r="AZ17" i="11"/>
  <c r="BV9" i="16"/>
  <c r="BW21" i="20"/>
  <c r="BV29" i="16"/>
  <c r="BW22" i="20"/>
  <c r="BW29" i="20"/>
  <c r="BU20" i="17"/>
  <c r="U13" i="17"/>
  <c r="BU22" i="17"/>
  <c r="BW25" i="20"/>
  <c r="BU10" i="17"/>
  <c r="X20" i="16"/>
  <c r="BW19" i="20"/>
  <c r="BU16" i="17"/>
  <c r="AZ16" i="11"/>
  <c r="AZ23" i="11" s="1"/>
  <c r="BJ25" i="11"/>
  <c r="AO28" i="17"/>
  <c r="BM16" i="11"/>
  <c r="BH18" i="11"/>
  <c r="BL13" i="11"/>
  <c r="BH13" i="11"/>
  <c r="BG16" i="11"/>
  <c r="BJ20" i="11"/>
  <c r="R10" i="21"/>
  <c r="R14" i="21" s="1"/>
  <c r="BJ29" i="11"/>
  <c r="BH9" i="11"/>
  <c r="V21" i="11"/>
  <c r="BK16" i="11"/>
  <c r="BK9" i="11"/>
  <c r="BH19" i="11"/>
  <c r="BM29" i="11"/>
  <c r="BH19" i="16"/>
  <c r="BK13" i="11"/>
  <c r="BH11"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22" i="16"/>
  <c r="BI19" i="11"/>
  <c r="BJ11" i="1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J23" i="11" s="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K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<sst xmlns="http://schemas.openxmlformats.org/spreadsheetml/2006/main" count="2654" uniqueCount="1183">
  <si>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</si>
  <si>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</si>
  <si>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</si>
  <si>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</si>
  <si>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</si>
  <si>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</si>
  <si>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</si>
  <si>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</si>
  <si>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</si>
  <si>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</si>
  <si>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</si>
  <si>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</si>
  <si>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</si>
  <si>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</si>
  <si>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</si>
  <si>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</si>
  <si>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</si>
  <si>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</si>
  <si>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</si>
  <si>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</si>
  <si>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</si>
  <si>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</si>
  <si>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</si>
  <si>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</si>
  <si>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</si>
  <si>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</si>
  <si>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</si>
  <si>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</si>
  <si>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</si>
  <si>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</si>
  <si>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</si>
  <si>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</si>
  <si>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</si>
  <si>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</si>
  <si>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</si>
  <si>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</si>
  <si>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</si>
  <si>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</si>
  <si>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</si>
  <si>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</si>
  <si>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</si>
  <si>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</si>
  <si>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</si>
  <si>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</si>
  <si>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</si>
  <si>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</si>
  <si>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</si>
  <si>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</si>
  <si>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</si>
  <si>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</si>
  <si>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</si>
  <si>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</si>
  <si>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</si>
  <si>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</si>
  <si>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</si>
  <si>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</si>
  <si>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</si>
  <si>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</si>
  <si>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</si>
  <si>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</si>
  <si>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</si>
  <si>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</si>
  <si>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</si>
  <si>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</si>
  <si>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</si>
  <si>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</si>
  <si>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</si>
  <si>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</si>
  <si>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</si>
  <si>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</si>
  <si>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</si>
  <si>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</si>
  <si>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</si>
  <si>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</si>
  <si>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</si>
  <si>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</si>
  <si>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</si>
  <si>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</si>
  <si>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</si>
  <si>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</si>
  <si>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</si>
  <si>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</si>
  <si>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</si>
  <si>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</si>
  <si>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</si>
  <si>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</si>
  <si>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</si>
  <si>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</si>
  <si>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</si>
  <si>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</si>
  <si>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</si>
  <si>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</si>
  <si>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</si>
  <si>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</si>
  <si>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</si>
  <si>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</si>
  <si>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</si>
  <si>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</si>
  <si>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</si>
  <si>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</si>
  <si>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</si>
  <si>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</si>
  <si>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</si>
  <si>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</si>
  <si>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</si>
  <si>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</si>
  <si>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</si>
  <si>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</si>
  <si>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</si>
  <si>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</si>
  <si>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</si>
  <si>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</si>
  <si>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</si>
  <si>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</si>
  <si>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</si>
  <si>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</si>
  <si>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</si>
  <si>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</si>
  <si>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</si>
  <si>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</si>
  <si>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</si>
  <si>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</si>
  <si>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</si>
  <si>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</si>
  <si>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</si>
  <si>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</si>
  <si>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</si>
  <si>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</si>
  <si>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</si>
  <si>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</si>
  <si>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</si>
  <si>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</si>
  <si>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</si>
  <si>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</si>
  <si>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</si>
  <si>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</si>
  <si>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</si>
  <si>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</si>
  <si>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</si>
  <si>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</si>
  <si>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</si>
  <si>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</si>
  <si>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</si>
  <si>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</si>
  <si>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</si>
  <si>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</si>
  <si>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</si>
  <si>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</si>
  <si>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</si>
  <si>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</si>
  <si>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</si>
  <si>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</si>
  <si>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</si>
  <si>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</si>
  <si>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</si>
  <si>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</si>
  <si>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</si>
  <si>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</si>
  <si>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</si>
  <si>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</si>
  <si>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</si>
  <si>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</si>
  <si>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</si>
  <si>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</si>
  <si>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</si>
  <si>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</si>
  <si>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</si>
  <si>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</si>
  <si>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</si>
  <si>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</si>
  <si>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</si>
  <si>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</si>
  <si>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</si>
  <si>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</si>
  <si>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</si>
  <si>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</si>
  <si>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</si>
  <si>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</si>
  <si>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</si>
  <si>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</si>
  <si>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</si>
  <si>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</si>
  <si>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</si>
  <si>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</si>
  <si>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</si>
  <si>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</si>
  <si>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</si>
  <si>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</si>
  <si>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</si>
  <si>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</si>
  <si>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</si>
  <si>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</si>
  <si>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</si>
  <si>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</si>
  <si>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</si>
  <si>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</si>
  <si>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</si>
  <si>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</si>
  <si>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</si>
  <si>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</si>
  <si>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</si>
  <si>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</si>
  <si>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</si>
  <si>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</si>
  <si>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</si>
  <si>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</si>
  <si>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</si>
  <si>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</si>
  <si>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</si>
  <si>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</si>
  <si>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</si>
  <si>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</si>
  <si>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</si>
  <si>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</si>
  <si>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</si>
  <si>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</si>
  <si>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</si>
  <si>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</si>
  <si>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</si>
  <si>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</si>
  <si>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</si>
  <si>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</si>
  <si>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</si>
  <si>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</si>
  <si>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</si>
  <si>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</si>
  <si>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</si>
  <si>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</si>
  <si>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</si>
  <si>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</si>
  <si>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</si>
  <si>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</si>
  <si>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</si>
  <si>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</si>
  <si>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</si>
  <si>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</si>
  <si>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</si>
  <si>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</si>
  <si>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</si>
  <si>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</si>
  <si>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</si>
  <si>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</si>
  <si>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</si>
  <si>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</si>
  <si>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</si>
  <si>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</si>
  <si>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</si>
  <si>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</si>
  <si>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</si>
  <si>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</si>
  <si>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</si>
  <si>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</si>
  <si>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</si>
  <si>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</si>
  <si>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</si>
  <si>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</si>
  <si>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</si>
  <si>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</si>
  <si>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</si>
  <si>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</si>
  <si>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</si>
  <si>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</si>
  <si>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</si>
  <si>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</si>
  <si>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</si>
  <si>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</si>
  <si>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</si>
  <si>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</si>
  <si>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</si>
  <si>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</si>
  <si>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</si>
  <si>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</si>
  <si>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</si>
  <si>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</si>
  <si>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</si>
  <si>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</si>
  <si>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</si>
  <si>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</si>
  <si>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</si>
  <si>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</si>
  <si>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</si>
  <si>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</si>
  <si>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</si>
  <si>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</si>
  <si>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</si>
  <si>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</si>
  <si>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</si>
  <si>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</si>
  <si>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</si>
  <si>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</si>
  <si>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</si>
  <si>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</si>
  <si>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</si>
  <si>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</si>
  <si>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</si>
  <si>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</si>
  <si>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</si>
  <si>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</si>
  <si>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</si>
  <si>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</si>
  <si>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</si>
  <si>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</si>
  <si>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</si>
  <si>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</si>
  <si>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</si>
  <si>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</si>
  <si>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</si>
  <si>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</si>
  <si>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</si>
  <si>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</si>
  <si>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</si>
  <si>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</si>
  <si>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</si>
  <si>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</si>
  <si>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</si>
  <si>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</si>
  <si>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</si>
  <si>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</si>
  <si>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</si>
  <si>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</si>
  <si>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</si>
  <si>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</si>
  <si>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</si>
  <si>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</si>
  <si>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</si>
  <si>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</si>
  <si>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</si>
  <si>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</si>
  <si>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</si>
  <si>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</si>
  <si>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</si>
  <si>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</si>
  <si>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</si>
  <si>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</si>
  <si>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</si>
  <si>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</si>
  <si>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</si>
  <si>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</si>
  <si>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</si>
  <si>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</si>
  <si>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</si>
  <si>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</si>
  <si>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</si>
  <si>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</si>
  <si>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</si>
  <si>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</si>
  <si>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</si>
  <si>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</si>
  <si>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</si>
  <si>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</si>
  <si>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</si>
  <si>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</si>
  <si>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</si>
  <si>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</si>
  <si>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</si>
  <si>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</si>
  <si>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</si>
  <si>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</si>
  <si>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</si>
  <si>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</si>
  <si>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</si>
  <si>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</si>
  <si>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</si>
  <si>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</si>
  <si>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</si>
  <si>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</si>
  <si>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</si>
  <si>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</si>
  <si>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</si>
  <si>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</si>
  <si>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</si>
  <si>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</si>
  <si>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</si>
  <si>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</si>
  <si>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</si>
  <si>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</si>
  <si>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</si>
  <si>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</si>
  <si>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</si>
  <si>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</si>
  <si>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</si>
  <si>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</si>
  <si>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</si>
  <si>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</si>
  <si>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</si>
  <si>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</si>
  <si>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</si>
  <si>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</si>
  <si>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</si>
  <si>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</si>
  <si>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</si>
  <si>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</si>
  <si>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</si>
  <si>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</si>
  <si>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</si>
  <si>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</si>
  <si>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</si>
  <si>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</si>
  <si>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</si>
  <si>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</si>
  <si>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</si>
  <si>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</si>
  <si>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</si>
  <si>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</si>
  <si>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</si>
  <si>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</si>
  <si>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</si>
  <si>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</si>
  <si>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</si>
  <si>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</si>
  <si>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</si>
  <si>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</si>
  <si>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</si>
  <si>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</si>
  <si>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</si>
  <si>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</si>
  <si>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</si>
  <si>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</si>
  <si>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</si>
  <si>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</si>
  <si>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</si>
  <si>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</si>
  <si>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</si>
  <si>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</si>
  <si>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</si>
  <si>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</si>
  <si>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</si>
  <si>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</si>
  <si>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</si>
  <si>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</si>
  <si>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</si>
  <si>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</si>
  <si>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</si>
  <si>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</si>
  <si>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</si>
  <si>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</si>
  <si>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</si>
  <si>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</si>
  <si>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</si>
  <si>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</si>
  <si>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</si>
  <si>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</si>
  <si>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</si>
  <si>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</si>
  <si>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</si>
  <si>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</si>
  <si>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</si>
  <si>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</si>
  <si>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</si>
  <si>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</si>
  <si>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</si>
  <si>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</si>
  <si>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</si>
  <si>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</si>
  <si>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</si>
  <si>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</si>
  <si>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</si>
  <si>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</si>
  <si>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</si>
  <si>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</si>
  <si>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</si>
  <si>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</si>
  <si>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</si>
  <si>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</si>
  <si>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</si>
  <si>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</si>
  <si>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</si>
  <si>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</si>
  <si>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</si>
  <si>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</si>
  <si>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</si>
  <si>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</si>
  <si>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</si>
  <si>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</si>
  <si>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</si>
  <si>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</si>
  <si>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</si>
  <si>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</si>
  <si>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</si>
  <si>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</si>
  <si>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</si>
  <si>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</si>
  <si>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</si>
  <si>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</si>
  <si>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</si>
  <si>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</si>
  <si>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</si>
  <si>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</si>
  <si>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</si>
  <si>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</si>
  <si>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</si>
  <si>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</si>
  <si>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</si>
  <si>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</si>
  <si>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</si>
  <si>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</si>
  <si>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</si>
  <si>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</si>
  <si>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</si>
  <si>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</si>
  <si>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</si>
  <si>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</si>
  <si>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</si>
  <si>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</si>
  <si>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</si>
  <si>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</si>
  <si>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</si>
  <si>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</si>
  <si>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</si>
  <si>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</si>
  <si>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</si>
  <si>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</si>
  <si>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</si>
  <si>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</si>
  <si>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</si>
  <si>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</si>
  <si>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</si>
  <si>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</si>
  <si>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</si>
  <si>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</si>
  <si>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</si>
  <si>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</si>
  <si>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</si>
  <si>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</si>
  <si>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</si>
  <si>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</si>
  <si>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</si>
  <si>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</si>
  <si>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</si>
  <si>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</si>
  <si>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</si>
  <si>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</si>
  <si>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</si>
  <si>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</si>
  <si>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</si>
  <si>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</si>
  <si>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</si>
  <si>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</si>
  <si>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</si>
  <si>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</si>
  <si>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</si>
  <si>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</si>
  <si>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</si>
  <si>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</si>
  <si>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</si>
  <si>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</si>
  <si>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</si>
  <si>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</si>
  <si>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</si>
  <si>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</si>
  <si>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</si>
  <si>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</si>
  <si>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</si>
  <si>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</si>
  <si>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</si>
  <si>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</si>
  <si>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</si>
  <si>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</si>
  <si>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</si>
  <si>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</si>
  <si>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</si>
  <si>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</si>
  <si>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</si>
  <si>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</si>
  <si>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</si>
  <si>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</si>
  <si>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</si>
  <si>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</si>
  <si>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</si>
  <si>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</si>
  <si>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</si>
  <si>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</si>
  <si>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</si>
  <si>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</si>
  <si>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</si>
  <si>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</si>
  <si>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</si>
  <si>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</si>
  <si>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</si>
  <si>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</si>
  <si>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</si>
  <si>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</si>
  <si>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</si>
  <si>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</si>
  <si>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</si>
  <si>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</si>
  <si>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</si>
  <si>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</si>
  <si>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</si>
  <si>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</si>
  <si>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</si>
  <si>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</si>
  <si>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</si>
  <si>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</si>
  <si>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</si>
  <si>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</si>
  <si>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</si>
  <si>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</si>
  <si>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</si>
  <si>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</si>
  <si>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</si>
  <si>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</si>
  <si>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</si>
  <si>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</si>
  <si>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</si>
  <si>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</si>
  <si>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</si>
  <si>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</si>
  <si>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</si>
  <si>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</si>
  <si>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</si>
  <si>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</si>
  <si>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</si>
  <si>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</si>
  <si>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</si>
  <si>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</si>
  <si>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</si>
  <si>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</si>
  <si>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</si>
  <si>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</si>
  <si>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</si>
  <si>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</si>
  <si>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</si>
  <si>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</si>
  <si>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</si>
  <si>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</si>
  <si>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</si>
  <si>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</si>
  <si>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</si>
  <si>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</si>
  <si>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</si>
  <si>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</si>
  <si>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</si>
  <si>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</si>
  <si>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</si>
  <si>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</si>
  <si>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</si>
  <si>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</si>
  <si>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</si>
  <si>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</si>
  <si>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</si>
  <si>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</si>
  <si>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</si>
  <si>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</si>
  <si>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</si>
  <si>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</si>
  <si>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</si>
  <si>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</si>
  <si>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</si>
  <si>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</si>
  <si>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</si>
  <si>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</si>
  <si>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</si>
  <si>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</si>
  <si>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</si>
  <si>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</si>
  <si>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</si>
  <si>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</si>
  <si>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</si>
  <si>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</si>
  <si>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</si>
  <si>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</si>
  <si>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</si>
  <si>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</si>
  <si>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</si>
  <si>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</si>
  <si>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</si>
  <si>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</si>
  <si>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</si>
  <si>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</si>
  <si>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</si>
  <si>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</si>
  <si>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</si>
  <si>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</si>
  <si>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</si>
  <si>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</si>
  <si>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</si>
  <si>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</si>
  <si>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</si>
  <si>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</si>
  <si>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</si>
  <si>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</si>
  <si>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</si>
  <si>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</si>
  <si>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</si>
  <si>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</si>
  <si>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</si>
  <si>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</si>
  <si>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</si>
  <si>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</si>
  <si>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</si>
  <si>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</si>
  <si>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</si>
  <si>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</si>
  <si>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</si>
  <si>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</si>
  <si>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</si>
  <si>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</si>
  <si>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</si>
  <si>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</si>
  <si>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</si>
  <si>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</si>
  <si>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</si>
  <si>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</si>
  <si>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</si>
  <si>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</si>
  <si>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</si>
  <si>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</si>
  <si>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</si>
  <si>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</si>
  <si>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</si>
  <si>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</si>
  <si>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</si>
  <si>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</si>
  <si>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</si>
  <si>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</si>
  <si>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</si>
  <si>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</si>
  <si>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</si>
  <si>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</si>
  <si>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</si>
  <si>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</si>
  <si>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</si>
  <si>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</si>
  <si>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</si>
  <si>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</si>
  <si>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</si>
  <si>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</si>
  <si>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</si>
  <si>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</si>
  <si>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</si>
  <si>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</si>
  <si>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</si>
  <si>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</si>
  <si>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</si>
  <si>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</si>
  <si>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</si>
  <si>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</si>
  <si>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</si>
  <si>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</si>
  <si>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</si>
  <si>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</si>
  <si>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</si>
  <si>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</si>
  <si>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</si>
  <si>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</si>
  <si>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</si>
  <si>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</si>
  <si>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</si>
  <si>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</si>
  <si>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</si>
  <si>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</si>
  <si>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</si>
  <si>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</si>
  <si>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</si>
  <si>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</si>
  <si>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</si>
  <si>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</si>
  <si>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</si>
  <si>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</si>
  <si>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</si>
  <si>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</si>
  <si>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</si>
  <si>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</si>
  <si>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</si>
  <si>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</si>
  <si>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</si>
  <si>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</si>
  <si>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</si>
  <si>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</si>
  <si>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</si>
  <si>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</si>
  <si>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</si>
  <si>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</si>
  <si>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</si>
  <si>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</si>
  <si>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</si>
  <si>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</si>
  <si>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</si>
  <si>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</si>
  <si>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</si>
  <si>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</si>
  <si>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</si>
  <si>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</si>
  <si>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</si>
  <si>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</si>
  <si>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</si>
  <si>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</si>
  <si>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</si>
  <si>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</si>
  <si>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</si>
  <si>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</si>
  <si>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</si>
  <si>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</si>
  <si>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</si>
  <si>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</si>
  <si>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</si>
  <si>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</si>
  <si>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</si>
  <si>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</si>
  <si>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</si>
  <si>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</si>
  <si>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</si>
  <si>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</si>
  <si>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</si>
  <si>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</si>
  <si>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</si>
  <si>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</si>
  <si>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</si>
  <si>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</si>
  <si>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</si>
  <si>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</si>
  <si>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</si>
  <si>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</si>
  <si>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</si>
  <si>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</si>
  <si>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</si>
  <si>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</si>
  <si>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</si>
  <si>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</si>
  <si>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</si>
  <si>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</si>
  <si>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</si>
  <si>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</si>
  <si>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</si>
  <si>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</si>
  <si>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</si>
  <si>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</si>
  <si>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</si>
  <si>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</si>
  <si>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</si>
  <si>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</si>
  <si>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</si>
  <si>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</si>
  <si>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</si>
  <si>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</si>
  <si>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</si>
  <si>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</si>
  <si>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</si>
  <si>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</si>
  <si>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</si>
  <si>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</si>
  <si>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</si>
  <si>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</si>
  <si>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</si>
  <si>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</si>
  <si>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</si>
  <si>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</si>
  <si>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</si>
  <si>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</si>
  <si>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</si>
  <si>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</si>
  <si>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</si>
  <si>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</si>
  <si>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</si>
  <si>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</si>
  <si>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</si>
  <si>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</si>
  <si>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</si>
  <si>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</si>
  <si>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</si>
  <si>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</si>
  <si>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</si>
  <si>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</si>
  <si>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</si>
  <si>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</si>
  <si>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</si>
  <si>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</si>
  <si>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</si>
  <si>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</si>
  <si>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</si>
  <si>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</si>
  <si>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</si>
  <si>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</si>
  <si>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</si>
  <si>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</si>
  <si>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</si>
  <si>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</si>
  <si>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</si>
  <si>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</si>
  <si>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</si>
  <si>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</si>
  <si>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</si>
  <si>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</si>
  <si>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</si>
  <si>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</si>
  <si>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</si>
  <si>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</si>
  <si>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</si>
  <si>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</si>
  <si>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</si>
  <si>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</si>
  <si>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</si>
  <si>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</si>
  <si>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</si>
  <si>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</si>
  <si>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</si>
  <si>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</si>
  <si>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</si>
  <si>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</si>
  <si>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</si>
  <si>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</si>
  <si>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</si>
  <si>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</si>
  <si>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</si>
  <si>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</si>
  <si>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</si>
  <si>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</si>
  <si>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</si>
  <si>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</si>
  <si>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</si>
  <si>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</si>
  <si>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</si>
  <si>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</si>
  <si>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</si>
  <si>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</si>
  <si>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</si>
  <si>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</si>
  <si>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</si>
  <si>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</si>
  <si>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</si>
  <si>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</si>
  <si>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</si>
  <si>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</si>
  <si>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</si>
  <si>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</si>
  <si>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</si>
  <si>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</si>
  <si>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</si>
  <si>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</si>
  <si>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</si>
  <si>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</si>
  <si>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</si>
  <si>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</si>
  <si>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</si>
  <si>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</si>
  <si>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</si>
  <si>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</si>
  <si>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</si>
  <si>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</si>
  <si>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</si>
  <si>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</si>
  <si>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</si>
  <si>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</si>
  <si>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</si>
  <si>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</si>
  <si>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</si>
  <si>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</si>
  <si>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</si>
  <si>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</si>
  <si>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</si>
  <si>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</si>
  <si>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</si>
  <si>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</si>
  <si>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</si>
  <si>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</si>
  <si>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</si>
  <si>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</si>
  <si>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</si>
  <si>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</si>
  <si>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</si>
  <si>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</si>
  <si>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</si>
  <si>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</si>
  <si>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</si>
  <si>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</si>
  <si>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</si>
  <si>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</si>
  <si>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</si>
  <si>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</si>
  <si>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</si>
  <si>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</si>
  <si>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</si>
  <si>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</si>
  <si>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</si>
  <si>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</si>
  <si>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</si>
  <si>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</si>
  <si>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</si>
  <si>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</si>
  <si>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</si>
  <si>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</si>
  <si>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</si>
  <si>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</si>
  <si>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</si>
  <si>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</si>
  <si>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</si>
  <si>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</si>
  <si>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</si>
  <si>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</si>
  <si>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</si>
  <si>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</si>
  <si>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</si>
  <si>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</si>
  <si>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</si>
  <si>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</si>
  <si>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</si>
  <si>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</si>
  <si>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</si>
  <si>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</si>
  <si>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</si>
  <si>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</si>
  <si>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</si>
  <si>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</si>
  <si>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</si>
  <si>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</si>
  <si>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</si>
  <si>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</si>
  <si>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</si>
  <si>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</si>
  <si>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</si>
  <si>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</si>
  <si>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</si>
  <si>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</si>
  <si>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</si>
  <si>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</si>
  <si>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</si>
  <si>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</si>
  <si>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</si>
  <si>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</si>
  <si>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</si>
  <si>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</si>
  <si>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</si>
  <si>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</si>
  <si>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</si>
  <si>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</si>
  <si>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</si>
  <si>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</si>
  <si>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</si>
  <si>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</si>
  <si>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</si>
  <si>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</si>
  <si>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</si>
  <si>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</si>
  <si>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</si>
  <si>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</si>
  <si>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</si>
  <si>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</si>
  <si>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</si>
  <si>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</si>
  <si>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</si>
  <si>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</si>
  <si>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</si>
  <si>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</si>
  <si>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</si>
  <si>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</si>
  <si>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</si>
  <si>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</si>
  <si>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</si>
  <si>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</si>
  <si>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</si>
  <si>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</si>
  <si>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</si>
  <si>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</si>
  <si>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</si>
  <si>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</si>
  <si>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</si>
  <si>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</si>
  <si>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</si>
  <si>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</si>
  <si>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</si>
  <si>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</si>
  <si>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</si>
  <si>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</si>
  <si>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</si>
  <si>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</si>
  <si>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</si>
  <si>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</si>
  <si>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</si>
  <si>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</si>
  <si>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</si>
  <si>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</si>
  <si>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</si>
  <si>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</si>
  <si>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</si>
  <si>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</si>
  <si>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</si>
  <si>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</si>
  <si>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</si>
  <si>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</si>
  <si>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</si>
  <si>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</si>
  <si>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</si>
  <si>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</si>
  <si>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</si>
  <si>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</si>
  <si>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</si>
  <si>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</si>
  <si>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</si>
  <si>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</si>
  <si>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</si>
  <si>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</si>
  <si>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</si>
  <si>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</si>
  <si>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</si>
  <si>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</si>
  <si>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</si>
  <si>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</si>
  <si>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</si>
  <si>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</si>
  <si>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</si>
  <si>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</si>
  <si>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</si>
  <si>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</si>
  <si>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</si>
  <si>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</si>
  <si>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</si>
  <si>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</si>
  <si>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</si>
  <si>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</si>
  <si>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</si>
  <si>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</si>
  <si>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</si>
  <si>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</si>
  <si>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</si>
  <si>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</si>
  <si>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</si>
  <si>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</si>
  <si>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</si>
  <si>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</si>
  <si>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</si>
  <si>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</si>
  <si>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</si>
  <si>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</si>
  <si>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</si>
  <si>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</si>
  <si>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</si>
  <si>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</si>
  <si>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</si>
  <si>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</si>
  <si>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</si>
  <si>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</si>
  <si>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</si>
  <si>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</si>
  <si>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</si>
  <si>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</si>
  <si>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</si>
  <si>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</si>
  <si>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</si>
  <si>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</si>
  <si>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</si>
  <si>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</si>
  <si>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</si>
  <si>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</si>
  <si>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</si>
  <si>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</si>
  <si>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</si>
  <si>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</si>
  <si>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</si>
  <si>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</si>
  <si>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</si>
  <si>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</si>
  <si>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</si>
  <si>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</si>
  <si>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</si>
  <si>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</si>
  <si>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</si>
  <si>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</si>
  <si>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</si>
  <si>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</si>
  <si>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</si>
  <si>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</si>
  <si>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</si>
  <si>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</si>
  <si>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</si>
  <si>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</si>
  <si>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</si>
  <si>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</si>
  <si>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</si>
  <si>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</si>
  <si>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</si>
  <si>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</si>
  <si>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</si>
  <si>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</si>
  <si>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</si>
  <si>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</si>
  <si>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</si>
  <si>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</si>
  <si>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</si>
  <si>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</si>
  <si>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</si>
  <si>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GUADALAJARA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</si>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</sst>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1177</v>
      </c>
      <c r="B4" s="412"/>
      <c r="C4" s="412"/>
      <c r="D4" s="412"/>
      <c r="E4" s="412"/>
      <c r="F4" s="2"/>
      <c r="Q4" s="391">
        <v>2</v>
      </c>
      <c r="R4" s="391">
        <v>3</v>
      </c>
      <c r="S4" t="b">
        <f>AND(Q4&gt;=TrimIni,Q4&lt;=TrimFin)</f>
        <v>1</v>
      </c>
    </row>
    <row r="5" spans="1:19" ht="15.75" thickBot="1">
      <c r="A5" s="414" t="s">
        <v>55</v>
      </c>
      <c r="B5" s="415">
        <v>2022</v>
      </c>
      <c r="C5" s="416" t="s">
        <v>273</v>
      </c>
      <c r="D5" s="417">
        <v>2</v>
      </c>
      <c r="E5" s="418"/>
      <c r="F5" s="3"/>
      <c r="H5" t="s">
        <v>542</v>
      </c>
      <c r="Q5" s="391">
        <v>3</v>
      </c>
      <c r="R5" s="391">
        <v>2</v>
      </c>
      <c r="S5" t="b">
        <f>AND(Q5&gt;=TrimIni,Q5&lt;=TrimFin)</f>
        <v>0</v>
      </c>
    </row>
    <row r="6" spans="1:19" ht="15">
      <c r="A6" s="419"/>
      <c r="B6" s="418"/>
      <c r="C6" s="416" t="s">
        <v>274</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1181</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A538eZnYiW0kEyPoC2Oem0vrEgO2M6OHEPQJcNK/Y53uEBUzKAAm2fe4Liq0fJHLbRbziHCBDr2m5MGmhef/w==" saltValue="6n+PDKzGh7VNZYCvB/37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CASTILLA-LA MANCHA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2 al 2</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27.212186379928315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170</v>
      </c>
      <c r="D10" s="239">
        <f>IF(ISNUMBER(Datos!I10),Datos!I10," - ")</f>
        <v>170</v>
      </c>
      <c r="E10" s="240">
        <f>IF(ISNUMBER(Datos!J10),Datos!J10," - ")</f>
        <v>10</v>
      </c>
      <c r="F10" s="240">
        <f>IF(ISNUMBER(Datos!K10),Datos!K10," - ")</f>
        <v>35</v>
      </c>
      <c r="G10" s="1390" t="str">
        <f>IF(Datos!E10&lt;&gt;"",Datos!E10,Datos!D10)</f>
        <v>37</v>
      </c>
      <c r="H10" s="241">
        <f>IF(ISNUMBER(Datos!L10),Datos!L10," - ")</f>
        <v>145</v>
      </c>
      <c r="I10" s="1400" t="str">
        <f>IF(ISNUMBER(Datos!AS10/Datos!BM10),Datos!AS10/Datos!BM10," - ")</f>
        <v xml:space="preserve"> - </v>
      </c>
      <c r="J10" s="1401">
        <f>IF(ISNUMBER(Datos!BY10/Datos!CN10),Datos!BY10/Datos!CN10," - ")</f>
        <v>0</v>
      </c>
      <c r="K10" s="244">
        <f t="shared" ref="K10:K13" si="1">IF(ISNUMBER((E10-F10)/C10),(E10-F10)/C10," - ")</f>
        <v>-0.14705882352941177</v>
      </c>
      <c r="L10" s="1402">
        <f>IF(ISNUMBER(NºAsuntos!I10/NºAsuntos!G10),(NºAsuntos!I10/NºAsuntos!G10)*11," - ")</f>
        <v>45.571428571428577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37.353191489361699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170</v>
      </c>
      <c r="D14" s="1407">
        <f>SUBTOTAL(9,D9:D13)</f>
        <v>170</v>
      </c>
      <c r="E14" s="1408">
        <f>SUBTOTAL(9,E9:E13)</f>
        <v>10</v>
      </c>
      <c r="F14" s="1409">
        <f>SUBTOTAL(9,F9:F13)</f>
        <v>35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2279</v>
      </c>
      <c r="D16" s="239">
        <f>IF(ISNUMBER(IF(D_I="SI",Datos!I16,Datos!I16+Datos!AC16)),IF(D_I="SI",Datos!I16,Datos!I16+Datos!AC16)," - ")</f>
        <v>2007</v>
      </c>
      <c r="E16" s="240">
        <f>IF(ISNUMBER(IF(D_I="SI",Datos!J16,Datos!J16+Datos!AD16)),IF(D_I="SI",Datos!J16,Datos!J16+Datos!AD16)," - ")</f>
        <v>2734</v>
      </c>
      <c r="F16" s="240">
        <f>IF(ISNUMBER(IF(D_I="SI",Datos!K16,Datos!K16+Datos!AE16)),IF(D_I="SI",Datos!K16,Datos!K16+Datos!AE16)," - ")</f>
        <v>2870</v>
      </c>
      <c r="G16" s="1390" t="str">
        <f>IF(Datos!E16&lt;&gt;"",Datos!E16,Datos!D16)</f>
        <v>03</v>
      </c>
      <c r="H16" s="241">
        <f>IF(ISNUMBER(IF(D_I="SI",Datos!L16,Datos!L16+Datos!AF16)),IF(D_I="SI",Datos!L16,Datos!L16+Datos!AF16)," - ")</f>
        <v>2143</v>
      </c>
      <c r="I16" s="1400" t="str">
        <f>IF(ISNUMBER(Datos!AS16/Datos!BM16),Datos!AS16/Datos!BM16," - ")</f>
        <v xml:space="preserve"> - </v>
      </c>
      <c r="J16" s="1401">
        <f>IF(ISNUMBER(Datos!BY16/Datos!CN16),Datos!BY16/Datos!CN16," - ")</f>
        <v>0</v>
      </c>
      <c r="K16" s="244">
        <f t="shared" ref="K16:K22" si="3">IF(ISNUMBER((E16-F16)/C16),(E16-F16)/C16," - ")</f>
        <v>-5.9675296182536197E-2</v>
      </c>
      <c r="L16" s="1402">
        <f>IF(ISNUMBER(NºAsuntos!I16/NºAsuntos!G16),(NºAsuntos!I16/NºAsuntos!G16)*11," - ")</f>
        <v>8.2135888501742151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356</v>
      </c>
      <c r="D18" s="239">
        <f>IF(ISNUMBER(IF(D_I="SI",Datos!I18,Datos!I18+Datos!AC18)),IF(D_I="SI",Datos!I18,Datos!I18+Datos!AC18)," - ")</f>
        <v>353</v>
      </c>
      <c r="E18" s="240">
        <f>IF(ISNUMBER(IF(D_I="SI",Datos!J18,Datos!J18+Datos!AD18)),IF(D_I="SI",Datos!J18,Datos!J18+Datos!AD18)," - ")</f>
        <v>355</v>
      </c>
      <c r="F18" s="240">
        <f>IF(ISNUMBER(IF(D_I="SI",Datos!K18,Datos!K18+Datos!AE18)),IF(D_I="SI",Datos!K18,Datos!K18+Datos!AE18)," - ")</f>
        <v>418</v>
      </c>
      <c r="G18" s="1390" t="str">
        <f>IF(Datos!E18&lt;&gt;"",Datos!E18,Datos!D18)</f>
        <v>37</v>
      </c>
      <c r="H18" s="241">
        <f>IF(ISNUMBER(IF(D_I="SI",Datos!L18,Datos!L18+Datos!AF18)),IF(D_I="SI",Datos!L18,Datos!L18+Datos!AF18)," - ")</f>
        <v>293</v>
      </c>
      <c r="I18" s="1400" t="str">
        <f>IF(ISNUMBER(Datos!AS18/Datos!BM18),Datos!AS18/Datos!BM18," - ")</f>
        <v xml:space="preserve"> - </v>
      </c>
      <c r="J18" s="1401" t="str">
        <f>IF(ISNUMBER((Datos!BY18+Datos!BZ18)/Datos!CN18),(Datos!BY18+Datos!BZ18)/Datos!CN18," - ")</f>
        <v xml:space="preserve"> - </v>
      </c>
      <c r="K18" s="244">
        <f t="shared" si="3"/>
        <v>-0.17696629213483145</v>
      </c>
      <c r="L18" s="1402">
        <f>IF(ISNUMBER(NºAsuntos!I18/NºAsuntos!G18),(NºAsuntos!I18/NºAsuntos!G18)*11," - ")</f>
        <v>7.7105263157894743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2635</v>
      </c>
      <c r="D23" s="1407">
        <f>SUBTOTAL(9,D16:D22)</f>
        <v>2360</v>
      </c>
      <c r="E23" s="1408">
        <f>SUBTOTAL(9,E16:E22)</f>
        <v>3089</v>
      </c>
      <c r="F23" s="1408">
        <f>SUBTOTAL(9,F16:F22)</f>
        <v>3288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2805</v>
      </c>
      <c r="D31" s="1435">
        <f>SUBTOTAL(9,D9:D30)</f>
        <v>2530</v>
      </c>
      <c r="E31" s="1436">
        <f>SUBTOTAL(9,E9:E30)</f>
        <v>3099</v>
      </c>
      <c r="F31" s="1436">
        <f>SUBTOTAL(9,F9:F30)</f>
        <v>3323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kHenlRuClWJGj/d57u0336sC9Tn1U/ucCcL3dYzcEgznNA2l9IYl6J5+lk7qBHCLTyw5GJPcdhiLsxPxefDESA==" saltValue="/LRSCSB4Gvo25NeuftEbl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jTbRRViaduxEnW8oGWz2uKtP61sChAjD03pdp22nRo2FVVcMQYIN8B2kbEVoeUaO21GjJGdJn0jtk/27zBB8Q==" saltValue="tyhuEKna2t7eR5slA43W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6913</v>
      </c>
      <c r="J9" s="194">
        <v>2695</v>
      </c>
      <c r="K9" s="194">
        <v>2679</v>
      </c>
      <c r="L9" s="194">
        <v>6806</v>
      </c>
      <c r="M9" s="194">
        <v>569</v>
      </c>
      <c r="N9" s="194">
        <v>1200</v>
      </c>
      <c r="O9" s="194">
        <v>1359</v>
      </c>
      <c r="P9" s="194">
        <v>644</v>
      </c>
      <c r="Q9" s="194">
        <v>366</v>
      </c>
      <c r="R9" s="194">
        <v>11915</v>
      </c>
      <c r="S9" s="194">
        <v>6644</v>
      </c>
      <c r="T9" s="194">
        <v>2427</v>
      </c>
      <c r="U9" s="194">
        <v>2592</v>
      </c>
      <c r="V9" s="194">
        <v>6479</v>
      </c>
      <c r="W9" s="194">
        <v>500</v>
      </c>
      <c r="X9" s="201">
        <v>1113</v>
      </c>
      <c r="Y9" s="204">
        <v>94</v>
      </c>
      <c r="Z9" s="194">
        <v>113</v>
      </c>
      <c r="AA9" s="194">
        <v>111</v>
      </c>
      <c r="AB9" s="194">
        <v>96</v>
      </c>
      <c r="AC9" s="194">
        <v>0</v>
      </c>
      <c r="AD9" s="194">
        <v>0</v>
      </c>
      <c r="AE9" s="194">
        <v>0</v>
      </c>
      <c r="AF9" s="201">
        <v>0</v>
      </c>
      <c r="AG9" s="204">
        <v>201</v>
      </c>
      <c r="AH9" s="194">
        <v>134</v>
      </c>
      <c r="AI9" s="194">
        <v>181</v>
      </c>
      <c r="AJ9" s="205">
        <v>154</v>
      </c>
      <c r="AK9" s="193">
        <v>0</v>
      </c>
      <c r="AL9" s="194">
        <v>0</v>
      </c>
      <c r="AM9" s="194">
        <v>0</v>
      </c>
      <c r="AN9" s="201">
        <v>0</v>
      </c>
      <c r="AO9" s="282">
        <v>7</v>
      </c>
      <c r="AP9" s="167">
        <v>7</v>
      </c>
      <c r="AQ9" s="167">
        <v>7</v>
      </c>
      <c r="AR9" s="206">
        <v>7</v>
      </c>
      <c r="AS9" s="379" t="s">
        <v>1067</v>
      </c>
      <c r="AT9" s="208"/>
      <c r="AU9" s="207"/>
      <c r="AV9" s="208"/>
      <c r="AW9" s="207"/>
      <c r="AX9" s="208"/>
      <c r="AY9" s="133">
        <f>IF(ISNUMBER(IF(J_V="SI",S9,S9+AG9)),IF(J_V="SI",S9,S9+AG9)," - ")</f>
        <v>6845</v>
      </c>
      <c r="AZ9" s="133">
        <f>IF(ISNUMBER(IF(J_V="SI",T9,T9+AH9)),IF(J_V="SI",T9,T9+AH9)," - ")</f>
        <v>2561</v>
      </c>
      <c r="BA9" s="134">
        <f>IF(ISNUMBER(IF(J_V="SI",U9,U9+AI9)),IF(J_V="SI",U9,U9+AI9)," - ")</f>
        <v>2773</v>
      </c>
      <c r="BB9" s="134">
        <f>IF(ISNUMBER(IF(J_V="SI",V9,V9+AJ9)),IF(J_V="SI",V9,V9+AJ9)," - ")</f>
        <v>6633</v>
      </c>
      <c r="BC9" s="135">
        <f>IF(ISNUMBER(X9),X9," - ")</f>
        <v>1113</v>
      </c>
      <c r="BD9" s="136">
        <f>IF(ISNUMBER(BA9/AZ9),BA9/AZ9," - ")</f>
        <v>1.082780163998438</v>
      </c>
      <c r="BE9" s="137">
        <f>IF(ISNUMBER(BB9/BA9),BB9/BA9, " - ")</f>
        <v>2.3919942300757304</v>
      </c>
      <c r="BF9" s="137">
        <f>IF(ISNUMBER(BC9/BA9),BC9/BA9, " - ")</f>
        <v>0.40137035701406421</v>
      </c>
      <c r="BG9" s="209">
        <f>IF(ISNUMBER((AY9+AZ9)/BA9),(AY9+AZ9)/BA9," - ")</f>
        <v>3.3919942300757304</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170</v>
      </c>
      <c r="J10" s="194">
        <v>10</v>
      </c>
      <c r="K10" s="194">
        <v>35</v>
      </c>
      <c r="L10" s="194">
        <v>145</v>
      </c>
      <c r="M10" s="194">
        <v>19</v>
      </c>
      <c r="N10" s="194">
        <v>5</v>
      </c>
      <c r="O10" s="194">
        <v>12</v>
      </c>
      <c r="P10" s="194">
        <v>7</v>
      </c>
      <c r="Q10" s="194">
        <v>1</v>
      </c>
      <c r="R10" s="194">
        <v>96</v>
      </c>
      <c r="S10" s="194">
        <v>150</v>
      </c>
      <c r="T10" s="194">
        <v>23</v>
      </c>
      <c r="U10" s="194">
        <v>14</v>
      </c>
      <c r="V10" s="194">
        <v>159</v>
      </c>
      <c r="W10" s="194">
        <v>10</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1061</v>
      </c>
      <c r="AT10" s="205"/>
      <c r="AU10" s="213"/>
      <c r="AV10" s="205"/>
      <c r="AW10" s="213"/>
      <c r="AX10" s="205"/>
      <c r="AY10" s="138">
        <f t="shared" ref="AY10:BC10" si="0">IF(ISNUMBER(S10),S10," - ")</f>
        <v>150</v>
      </c>
      <c r="AZ10" s="139">
        <f t="shared" si="0"/>
        <v>23</v>
      </c>
      <c r="BA10" s="139">
        <f t="shared" si="0"/>
        <v>14</v>
      </c>
      <c r="BB10" s="139">
        <f t="shared" si="0"/>
        <v>159</v>
      </c>
      <c r="BC10" s="135">
        <f t="shared" si="0"/>
        <v>10</v>
      </c>
      <c r="BD10" s="136">
        <f>IF(ISNUMBER(BA10/AZ10),BA10/AZ10," - ")</f>
        <v>0.60869565217391308</v>
      </c>
      <c r="BE10" s="137">
        <f>IF(ISNUMBER(BB10/BA10),BB10/BA10, " - ")</f>
        <v>11.357142857142858</v>
      </c>
      <c r="BF10" s="137">
        <f>IF(ISNUMBER(BC10/BA10),BC10/BA10, " - ")</f>
        <v>0.7142857142857143</v>
      </c>
      <c r="BG10" s="209">
        <f>IF(ISNUMBER((AY10+AZ10)/BA10),(AY10+AZ10)/BA10," - ")</f>
        <v>12.357142857142858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1118</v>
      </c>
      <c r="J11" s="196">
        <v>460</v>
      </c>
      <c r="K11" s="196">
        <v>342</v>
      </c>
      <c r="L11" s="196">
        <v>1236</v>
      </c>
      <c r="M11" s="196">
        <v>148</v>
      </c>
      <c r="N11" s="196">
        <v>210</v>
      </c>
      <c r="O11" s="194">
        <v>152</v>
      </c>
      <c r="P11" s="196">
        <v>59</v>
      </c>
      <c r="Q11" s="196">
        <v>139</v>
      </c>
      <c r="R11" s="196">
        <v>1048</v>
      </c>
      <c r="S11" s="196">
        <v>1073</v>
      </c>
      <c r="T11" s="196">
        <v>368</v>
      </c>
      <c r="U11" s="196">
        <v>402</v>
      </c>
      <c r="V11" s="196">
        <v>1039</v>
      </c>
      <c r="W11" s="196">
        <v>218</v>
      </c>
      <c r="X11" s="202">
        <v>153</v>
      </c>
      <c r="Y11" s="204">
        <v>398</v>
      </c>
      <c r="Z11" s="194">
        <v>90</v>
      </c>
      <c r="AA11" s="194">
        <v>128</v>
      </c>
      <c r="AB11" s="194">
        <v>360</v>
      </c>
      <c r="AC11" s="196">
        <v>0</v>
      </c>
      <c r="AD11" s="196">
        <v>0</v>
      </c>
      <c r="AE11" s="196">
        <v>0</v>
      </c>
      <c r="AF11" s="202">
        <v>0</v>
      </c>
      <c r="AG11" s="215">
        <v>269</v>
      </c>
      <c r="AH11" s="196">
        <v>151</v>
      </c>
      <c r="AI11" s="196">
        <v>57</v>
      </c>
      <c r="AJ11" s="216">
        <v>363</v>
      </c>
      <c r="AK11" s="195">
        <v>0</v>
      </c>
      <c r="AL11" s="196">
        <v>0</v>
      </c>
      <c r="AM11" s="196">
        <v>0</v>
      </c>
      <c r="AN11" s="202">
        <v>0</v>
      </c>
      <c r="AO11" s="283">
        <v>1</v>
      </c>
      <c r="AP11" s="168">
        <v>1</v>
      </c>
      <c r="AQ11" s="168">
        <v>1</v>
      </c>
      <c r="AR11" s="167">
        <v>1</v>
      </c>
      <c r="AS11" s="381" t="s">
        <v>1068</v>
      </c>
      <c r="AT11" s="216"/>
      <c r="AU11" s="215"/>
      <c r="AV11" s="216"/>
      <c r="AW11" s="215"/>
      <c r="AX11" s="216"/>
      <c r="AY11" s="136">
        <f t="shared" ref="AY11:BB12" si="1">IF(ISNUMBER(IF(J_V="SI",S11,S11+AG11)),IF(J_V="SI",S11,S11+AG11)," - ")</f>
        <v>1342</v>
      </c>
      <c r="AZ11" s="137">
        <f t="shared" si="1"/>
        <v>519</v>
      </c>
      <c r="BA11" s="137">
        <f t="shared" si="1"/>
        <v>459</v>
      </c>
      <c r="BB11" s="137">
        <f t="shared" si="1"/>
        <v>1402</v>
      </c>
      <c r="BC11" s="135">
        <f>IF(ISNUMBER(X11),X11," - ")</f>
        <v>153</v>
      </c>
      <c r="BD11" s="136">
        <f t="shared" ref="BD11:BD13" si="2">IF(ISNUMBER(BA11/AZ11),BA11/AZ11," - ")</f>
        <v>0.88439306358381498</v>
      </c>
      <c r="BE11" s="137">
        <f t="shared" ref="BE11:BE13" si="3">IF(ISNUMBER(BB11/BA11),BB11/BA11, " - ")</f>
        <v>3.0544662309368191</v>
      </c>
      <c r="BF11" s="137">
        <f t="shared" ref="BF11:BF13" si="4">IF(ISNUMBER(BC11/BA11),BC11/BA11, " - ")</f>
        <v>0.33333333333333331</v>
      </c>
      <c r="BG11" s="209">
        <f t="shared" ref="BG11:BG13" si="5">IF(ISNUMBER((AY11+AZ11)/BA11),(AY11+AZ11)/BA11," - ")</f>
        <v>4.0544662309368196</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0</v>
      </c>
      <c r="J12" s="196">
        <v>0</v>
      </c>
      <c r="K12" s="196">
        <v>0</v>
      </c>
      <c r="L12" s="196">
        <v>0</v>
      </c>
      <c r="M12" s="196">
        <v>0</v>
      </c>
      <c r="N12" s="196">
        <v>0</v>
      </c>
      <c r="O12" s="194">
        <v>0</v>
      </c>
      <c r="P12" s="196">
        <v>1</v>
      </c>
      <c r="Q12" s="196">
        <v>0</v>
      </c>
      <c r="R12" s="196">
        <v>29</v>
      </c>
      <c r="S12" s="196">
        <v>8</v>
      </c>
      <c r="T12" s="196">
        <v>0</v>
      </c>
      <c r="U12" s="196">
        <v>0</v>
      </c>
      <c r="V12" s="196">
        <v>8</v>
      </c>
      <c r="W12" s="196">
        <v>0</v>
      </c>
      <c r="X12" s="202">
        <v>0</v>
      </c>
      <c r="Y12" s="204">
        <v>0</v>
      </c>
      <c r="Z12" s="194">
        <v>0</v>
      </c>
      <c r="AA12" s="194">
        <v>0</v>
      </c>
      <c r="AB12" s="194">
        <v>0</v>
      </c>
      <c r="AC12" s="196">
        <v>0</v>
      </c>
      <c r="AD12" s="196">
        <v>0</v>
      </c>
      <c r="AE12" s="196">
        <v>0</v>
      </c>
      <c r="AF12" s="202">
        <v>0</v>
      </c>
      <c r="AG12" s="215">
        <v>8</v>
      </c>
      <c r="AH12" s="196">
        <v>1</v>
      </c>
      <c r="AI12" s="196">
        <v>0</v>
      </c>
      <c r="AJ12" s="216">
        <v>9</v>
      </c>
      <c r="AK12" s="195">
        <v>0</v>
      </c>
      <c r="AL12" s="196">
        <v>0</v>
      </c>
      <c r="AM12" s="196">
        <v>0</v>
      </c>
      <c r="AN12" s="202">
        <v>0</v>
      </c>
      <c r="AO12" s="283">
        <v>0</v>
      </c>
      <c r="AP12" s="168">
        <v>0</v>
      </c>
      <c r="AQ12" s="168">
        <v>0</v>
      </c>
      <c r="AR12" s="167">
        <v>0</v>
      </c>
      <c r="AS12" s="381" t="s">
        <v>1069</v>
      </c>
      <c r="AT12" s="216"/>
      <c r="AU12" s="215"/>
      <c r="AV12" s="216"/>
      <c r="AW12" s="215"/>
      <c r="AX12" s="216"/>
      <c r="AY12" s="136">
        <f t="shared" si="1"/>
        <v>16</v>
      </c>
      <c r="AZ12" s="137">
        <f t="shared" si="1"/>
        <v>1</v>
      </c>
      <c r="BA12" s="137">
        <f t="shared" si="1"/>
        <v>0</v>
      </c>
      <c r="BB12" s="137">
        <f t="shared" si="1"/>
        <v>17</v>
      </c>
      <c r="BC12" s="135">
        <f>IF(ISNUMBER(X12),X12," - ")</f>
        <v>0</v>
      </c>
      <c r="BD12" s="136">
        <f t="shared" si="2"/>
        <v>0</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8201</v>
      </c>
      <c r="J14" s="197">
        <f t="shared" si="7"/>
        <v>3165</v>
      </c>
      <c r="K14" s="197">
        <f t="shared" si="7"/>
        <v>3056</v>
      </c>
      <c r="L14" s="197">
        <f t="shared" si="7"/>
        <v>8187</v>
      </c>
      <c r="M14" s="197">
        <f t="shared" si="7"/>
        <v>736</v>
      </c>
      <c r="N14" s="197">
        <f t="shared" si="7"/>
        <v>1415</v>
      </c>
      <c r="O14" s="197">
        <f t="shared" si="7"/>
        <v>1523</v>
      </c>
      <c r="P14" s="197">
        <f t="shared" si="7"/>
        <v>711</v>
      </c>
      <c r="Q14" s="197">
        <f t="shared" si="7"/>
        <v>506</v>
      </c>
      <c r="R14" s="197">
        <f t="shared" si="7"/>
        <v>13088</v>
      </c>
      <c r="S14" s="197">
        <f t="shared" si="7"/>
        <v>7875</v>
      </c>
      <c r="T14" s="197">
        <f t="shared" si="7"/>
        <v>2818</v>
      </c>
      <c r="U14" s="197">
        <f t="shared" si="7"/>
        <v>3008</v>
      </c>
      <c r="V14" s="197">
        <f t="shared" si="7"/>
        <v>7685</v>
      </c>
      <c r="W14" s="197">
        <f t="shared" si="7"/>
        <v>728</v>
      </c>
      <c r="X14" s="197">
        <f t="shared" si="7"/>
        <v>1269</v>
      </c>
      <c r="Y14" s="197">
        <f t="shared" si="7"/>
        <v>492</v>
      </c>
      <c r="Z14" s="197">
        <f t="shared" si="7"/>
        <v>203</v>
      </c>
      <c r="AA14" s="197">
        <f t="shared" si="7"/>
        <v>239</v>
      </c>
      <c r="AB14" s="197">
        <f t="shared" si="7"/>
        <v>456</v>
      </c>
      <c r="AC14" s="197">
        <f t="shared" si="7"/>
        <v>0</v>
      </c>
      <c r="AD14" s="197">
        <f t="shared" si="7"/>
        <v>0</v>
      </c>
      <c r="AE14" s="197">
        <f t="shared" si="7"/>
        <v>0</v>
      </c>
      <c r="AF14" s="197">
        <f>SUBTOTAL(9,AF9:AF13)</f>
        <v>0</v>
      </c>
      <c r="AG14" s="197">
        <f t="shared" ref="AG14:AT14" si="8">SUBTOTAL(9,AG8:AG13)</f>
        <v>478</v>
      </c>
      <c r="AH14" s="197">
        <f t="shared" si="8"/>
        <v>286</v>
      </c>
      <c r="AI14" s="197">
        <f t="shared" si="8"/>
        <v>238</v>
      </c>
      <c r="AJ14" s="197">
        <f t="shared" si="8"/>
        <v>526</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8353</v>
      </c>
      <c r="AZ14" s="197">
        <f>SUBTOTAL(9,AZ8:AZ13)</f>
        <v>3104</v>
      </c>
      <c r="BA14" s="197">
        <f>SUBTOTAL(9,BA8:BA13)</f>
        <v>3246</v>
      </c>
      <c r="BB14" s="197">
        <f>SUBTOTAL(9,BB8:BB13)</f>
        <v>8211</v>
      </c>
      <c r="BC14" s="197">
        <f>SUBTOTAL(9,BC8:BC13)</f>
        <v>1276</v>
      </c>
      <c r="BD14" s="219">
        <f>IF(ISNUMBER(BA14/AZ14),BA14/AZ14," - ")</f>
        <v>1.0457474226804124</v>
      </c>
      <c r="BE14" s="220">
        <f>IF(ISNUMBER(BB14/BA14),BB14/BA14, " - ")</f>
        <v>2.5295748613678373</v>
      </c>
      <c r="BF14" s="220">
        <f>IF(ISNUMBER(BC14/BA14),BC14/BA14, " - ")</f>
        <v>0.39309919901417129</v>
      </c>
      <c r="BG14" s="221">
        <f>IF(ISNUMBER((AY14+AZ14)/BA14),(AY14+AZ14)/BA14," - ")</f>
        <v>3.5295748613678373</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2007</v>
      </c>
      <c r="J16" s="196">
        <v>2734</v>
      </c>
      <c r="K16" s="196">
        <v>2870</v>
      </c>
      <c r="L16" s="196">
        <v>2143</v>
      </c>
      <c r="M16" s="196">
        <v>363</v>
      </c>
      <c r="N16" s="196">
        <v>1856</v>
      </c>
      <c r="O16" s="194">
        <v>55</v>
      </c>
      <c r="P16" s="196">
        <v>118</v>
      </c>
      <c r="Q16" s="196">
        <v>55</v>
      </c>
      <c r="R16" s="196">
        <v>484</v>
      </c>
      <c r="S16" s="196">
        <v>2470</v>
      </c>
      <c r="T16" s="196">
        <v>2167</v>
      </c>
      <c r="U16" s="196">
        <v>2390</v>
      </c>
      <c r="V16" s="196">
        <v>2272</v>
      </c>
      <c r="W16" s="196">
        <v>361</v>
      </c>
      <c r="X16" s="202">
        <v>1446</v>
      </c>
      <c r="Y16" s="215">
        <v>0</v>
      </c>
      <c r="Z16" s="196">
        <v>0</v>
      </c>
      <c r="AA16" s="196">
        <v>0</v>
      </c>
      <c r="AB16" s="196">
        <v>0</v>
      </c>
      <c r="AC16" s="196">
        <v>0</v>
      </c>
      <c r="AD16" s="196">
        <v>9</v>
      </c>
      <c r="AE16" s="196">
        <v>9</v>
      </c>
      <c r="AF16" s="202">
        <v>0</v>
      </c>
      <c r="AG16" s="215">
        <v>0</v>
      </c>
      <c r="AH16" s="196">
        <v>0</v>
      </c>
      <c r="AI16" s="196">
        <v>0</v>
      </c>
      <c r="AJ16" s="216">
        <v>0</v>
      </c>
      <c r="AK16" s="195">
        <v>5</v>
      </c>
      <c r="AL16" s="196">
        <v>15</v>
      </c>
      <c r="AM16" s="196">
        <v>20</v>
      </c>
      <c r="AN16" s="202">
        <v>0</v>
      </c>
      <c r="AO16" s="283">
        <v>4</v>
      </c>
      <c r="AP16" s="168">
        <v>4</v>
      </c>
      <c r="AQ16" s="168">
        <v>4</v>
      </c>
      <c r="AR16" s="168">
        <v>4</v>
      </c>
      <c r="AS16" s="381" t="s">
        <v>697</v>
      </c>
      <c r="AT16" s="216" t="s">
        <v>420</v>
      </c>
      <c r="AU16" s="215"/>
      <c r="AV16" s="216"/>
      <c r="AW16" s="215"/>
      <c r="AX16" s="216"/>
      <c r="AY16" s="138">
        <f t="shared" ref="AY16:BB17" si="10">IF(ISNUMBER(IF(D_I="SI",S16,S16+AK16)),IF(D_I="SI",S16,S16+AK16)," - ")</f>
        <v>2470</v>
      </c>
      <c r="AZ16" s="139">
        <f t="shared" si="10"/>
        <v>2167</v>
      </c>
      <c r="BA16" s="139">
        <f t="shared" si="10"/>
        <v>2390</v>
      </c>
      <c r="BB16" s="139">
        <f t="shared" si="10"/>
        <v>2272</v>
      </c>
      <c r="BC16" s="135">
        <f>IF(ISNUMBER(W16),W16," - ")</f>
        <v>361</v>
      </c>
      <c r="BD16" s="136">
        <f>IF(ISNUMBER(BA16/AZ16),BA16/AZ16," - ")</f>
        <v>1.1029072450392248</v>
      </c>
      <c r="BE16" s="137">
        <f>IF(ISNUMBER(BB16/BA16),BB16/BA16, " - ")</f>
        <v>0.9506276150627615</v>
      </c>
      <c r="BF16" s="137">
        <f>IF(ISNUMBER(BC16/BA16),BC16/BA16, " - ")</f>
        <v>0.15104602510460252</v>
      </c>
      <c r="BG16" s="209">
        <f t="shared" ref="BG16:BG22" si="11">IF(ISNUMBER((AY16+AZ16)/BA16),(AY16+AZ16)/BA16," - ")</f>
        <v>1.9401673640167365</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353</v>
      </c>
      <c r="J18" s="196">
        <v>355</v>
      </c>
      <c r="K18" s="196">
        <v>418</v>
      </c>
      <c r="L18" s="196">
        <v>293</v>
      </c>
      <c r="M18" s="196">
        <v>17</v>
      </c>
      <c r="N18" s="196">
        <v>269</v>
      </c>
      <c r="O18" s="196">
        <v>0</v>
      </c>
      <c r="P18" s="196">
        <v>2</v>
      </c>
      <c r="Q18" s="196">
        <v>0</v>
      </c>
      <c r="R18" s="196">
        <v>9</v>
      </c>
      <c r="S18" s="196">
        <v>443</v>
      </c>
      <c r="T18" s="196">
        <v>482</v>
      </c>
      <c r="U18" s="196">
        <v>408</v>
      </c>
      <c r="V18" s="196">
        <v>524</v>
      </c>
      <c r="W18" s="196">
        <v>23</v>
      </c>
      <c r="X18" s="202">
        <v>256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1060</v>
      </c>
      <c r="AT18" s="223"/>
      <c r="AU18" s="213"/>
      <c r="AV18" s="223"/>
      <c r="AW18" s="213"/>
      <c r="AX18" s="223"/>
      <c r="AY18" s="138">
        <f t="shared" ref="AY18:BB19" si="15">IF(ISNUMBER(S18),S18," - ")</f>
        <v>443</v>
      </c>
      <c r="AZ18" s="139">
        <f t="shared" si="15"/>
        <v>482</v>
      </c>
      <c r="BA18" s="139">
        <f t="shared" si="15"/>
        <v>408</v>
      </c>
      <c r="BB18" s="139">
        <f t="shared" si="15"/>
        <v>524</v>
      </c>
      <c r="BC18" s="135">
        <f>IF(ISNUMBER(W18),W18," - ")</f>
        <v>23</v>
      </c>
      <c r="BD18" s="136">
        <f>IF(ISNUMBER(BA18/AZ18),BA18/AZ18," - ")</f>
        <v>0.84647302904564314</v>
      </c>
      <c r="BE18" s="137">
        <f>IF(ISNUMBER(BB18/BA18),BB18/BA18, " - ")</f>
        <v>1.2843137254901962</v>
      </c>
      <c r="BF18" s="137">
        <f>IF(ISNUMBER(BC18/BA18),BC18/BA18, " - ")</f>
        <v>5.6372549019607844E-2</v>
      </c>
      <c r="BG18" s="209">
        <f>IF(ISNUMBER((AY18+AZ18)/BA18),(AY18+AZ18)/BA18," - ")</f>
        <v>2.267156862745098</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2360</v>
      </c>
      <c r="J23" s="197">
        <f t="shared" si="21"/>
        <v>3089</v>
      </c>
      <c r="K23" s="197">
        <f t="shared" si="21"/>
        <v>3288</v>
      </c>
      <c r="L23" s="197">
        <f t="shared" si="21"/>
        <v>2436</v>
      </c>
      <c r="M23" s="197">
        <f t="shared" si="21"/>
        <v>380</v>
      </c>
      <c r="N23" s="197">
        <f t="shared" si="21"/>
        <v>2125</v>
      </c>
      <c r="O23" s="197">
        <f t="shared" si="21"/>
        <v>55</v>
      </c>
      <c r="P23" s="197">
        <f t="shared" si="21"/>
        <v>120</v>
      </c>
      <c r="Q23" s="197">
        <f t="shared" si="21"/>
        <v>55</v>
      </c>
      <c r="R23" s="197">
        <f t="shared" si="21"/>
        <v>493</v>
      </c>
      <c r="S23" s="197">
        <f t="shared" si="21"/>
        <v>2913</v>
      </c>
      <c r="T23" s="197">
        <f t="shared" si="21"/>
        <v>2649</v>
      </c>
      <c r="U23" s="197">
        <f t="shared" si="21"/>
        <v>2798</v>
      </c>
      <c r="V23" s="197">
        <f t="shared" si="21"/>
        <v>2796</v>
      </c>
      <c r="W23" s="197">
        <f t="shared" si="21"/>
        <v>384</v>
      </c>
      <c r="X23" s="197">
        <f t="shared" si="21"/>
        <v>1702</v>
      </c>
      <c r="Y23" s="197">
        <f t="shared" si="21"/>
        <v>0</v>
      </c>
      <c r="Z23" s="197">
        <f t="shared" si="21"/>
        <v>0</v>
      </c>
      <c r="AA23" s="197">
        <f t="shared" si="21"/>
        <v>0</v>
      </c>
      <c r="AB23" s="197">
        <f t="shared" si="21"/>
        <v>0</v>
      </c>
      <c r="AC23" s="197">
        <f t="shared" si="21"/>
        <v>0</v>
      </c>
      <c r="AD23" s="197">
        <f t="shared" si="21"/>
        <v>9</v>
      </c>
      <c r="AE23" s="197">
        <f t="shared" si="21"/>
        <v>9</v>
      </c>
      <c r="AF23" s="197">
        <f t="shared" si="21"/>
        <v>0</v>
      </c>
      <c r="AG23" s="197">
        <f t="shared" si="21"/>
        <v>0</v>
      </c>
      <c r="AH23" s="197">
        <f t="shared" si="21"/>
        <v>0</v>
      </c>
      <c r="AI23" s="197">
        <f t="shared" si="21"/>
        <v>0</v>
      </c>
      <c r="AJ23" s="197">
        <f t="shared" si="21"/>
        <v>0</v>
      </c>
      <c r="AK23" s="197">
        <f t="shared" si="21"/>
        <v>5</v>
      </c>
      <c r="AL23" s="197">
        <f t="shared" si="21"/>
        <v>15</v>
      </c>
      <c r="AM23" s="197">
        <f t="shared" si="21"/>
        <v>20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2913</v>
      </c>
      <c r="AZ23" s="197">
        <f>SUBTOTAL(9,AZ15:AZ22)</f>
        <v>2649</v>
      </c>
      <c r="BA23" s="197">
        <f>SUBTOTAL(9,BA15:BA22)</f>
        <v>2798</v>
      </c>
      <c r="BB23" s="197">
        <f>SUBTOTAL(9,BB15:BB22)</f>
        <v>2796</v>
      </c>
      <c r="BC23" s="197">
        <f>SUBTOTAL(9,BC15:BC22)</f>
        <v>384</v>
      </c>
      <c r="BD23" s="219">
        <f>IF(ISNUMBER(BA23/AZ23),BA23/AZ23," - ")</f>
        <v>1.0562476406191015</v>
      </c>
      <c r="BE23" s="220">
        <f>IF(ISNUMBER(BB23/BA23),BB23/BA23, " - ")</f>
        <v>0.99928520371694063</v>
      </c>
      <c r="BF23" s="220">
        <f>IF(ISNUMBER(BC23/BA23),BC23/BA23, " - ")</f>
        <v>0.13724088634739098</v>
      </c>
      <c r="BG23" s="221">
        <f>IF(ISNUMBER((AY23+AZ23)/BA23),(AY23+AZ23)/BA23," - ")</f>
        <v>1.9878484631879914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10561</v>
      </c>
      <c r="J31" s="144">
        <f t="shared" si="36"/>
        <v>6254</v>
      </c>
      <c r="K31" s="144">
        <f t="shared" si="36"/>
        <v>6344</v>
      </c>
      <c r="L31" s="144">
        <f t="shared" si="36"/>
        <v>10623</v>
      </c>
      <c r="M31" s="144">
        <f t="shared" si="36"/>
        <v>1116</v>
      </c>
      <c r="N31" s="144">
        <f t="shared" si="36"/>
        <v>3540</v>
      </c>
      <c r="O31" s="144">
        <f t="shared" si="36"/>
        <v>1578</v>
      </c>
      <c r="P31" s="144">
        <f t="shared" si="36"/>
        <v>831</v>
      </c>
      <c r="Q31" s="144">
        <f t="shared" si="36"/>
        <v>561</v>
      </c>
      <c r="R31" s="144">
        <f t="shared" si="36"/>
        <v>13581</v>
      </c>
      <c r="S31" s="144">
        <f t="shared" si="36"/>
        <v>10788</v>
      </c>
      <c r="T31" s="144">
        <f t="shared" si="36"/>
        <v>5467</v>
      </c>
      <c r="U31" s="144">
        <f t="shared" si="36"/>
        <v>5806</v>
      </c>
      <c r="V31" s="144">
        <f t="shared" si="36"/>
        <v>10481</v>
      </c>
      <c r="W31" s="144">
        <f t="shared" si="36"/>
        <v>1112</v>
      </c>
      <c r="X31" s="144">
        <f t="shared" si="36"/>
        <v>2971</v>
      </c>
      <c r="Y31" s="144">
        <f t="shared" si="36"/>
        <v>492</v>
      </c>
      <c r="Z31" s="144">
        <f t="shared" si="36"/>
        <v>203</v>
      </c>
      <c r="AA31" s="144">
        <f t="shared" si="36"/>
        <v>239</v>
      </c>
      <c r="AB31" s="144">
        <f t="shared" si="36"/>
        <v>456</v>
      </c>
      <c r="AC31" s="144">
        <f t="shared" si="36"/>
        <v>0</v>
      </c>
      <c r="AD31" s="144">
        <f t="shared" si="36"/>
        <v>9</v>
      </c>
      <c r="AE31" s="144">
        <f t="shared" si="36"/>
        <v>9</v>
      </c>
      <c r="AF31" s="144">
        <f t="shared" si="36"/>
        <v>0</v>
      </c>
      <c r="AG31" s="144">
        <f t="shared" si="36"/>
        <v>478</v>
      </c>
      <c r="AH31" s="144">
        <f t="shared" si="36"/>
        <v>286</v>
      </c>
      <c r="AI31" s="144">
        <f t="shared" si="36"/>
        <v>238</v>
      </c>
      <c r="AJ31" s="144">
        <f t="shared" si="36"/>
        <v>526</v>
      </c>
      <c r="AK31" s="144">
        <f t="shared" si="36"/>
        <v>5</v>
      </c>
      <c r="AL31" s="144">
        <f t="shared" si="36"/>
        <v>15</v>
      </c>
      <c r="AM31" s="144">
        <f t="shared" si="36"/>
        <v>20</v>
      </c>
      <c r="AN31" s="224">
        <f t="shared" si="36"/>
        <v>0</v>
      </c>
      <c r="AO31" s="225">
        <v>13</v>
      </c>
      <c r="AP31" s="225">
        <v>12</v>
      </c>
      <c r="AQ31" s="225">
        <v>12</v>
      </c>
      <c r="AR31" s="225">
        <v>12</v>
      </c>
      <c r="AS31" s="166">
        <f t="shared" si="36"/>
        <v>0</v>
      </c>
      <c r="AT31" s="166">
        <f t="shared" si="36"/>
        <v>0</v>
      </c>
      <c r="AU31" s="225"/>
      <c r="AV31" s="226"/>
      <c r="AW31" s="225"/>
      <c r="AX31" s="226"/>
      <c r="AY31" s="143">
        <f>SUBTOTAL(9,AY9:AY30)</f>
        <v>11266</v>
      </c>
      <c r="AZ31" s="144">
        <f>SUBTOTAL(9,AZ9:AZ30)</f>
        <v>5753</v>
      </c>
      <c r="BA31" s="144">
        <f>SUBTOTAL(9,BA9:BA30)</f>
        <v>6044</v>
      </c>
      <c r="BB31" s="144">
        <f>SUBTOTAL(9,BB9:BB30)</f>
        <v>11007</v>
      </c>
      <c r="BC31" s="145">
        <f>SUBTOTAL(9,BC9:BC30)</f>
        <v>1660</v>
      </c>
      <c r="BD31" s="227">
        <f>IF(ISNUMBER(BA31/AZ31),BA31/AZ31," - ")</f>
        <v>1.0505823048844081</v>
      </c>
      <c r="BE31" s="224">
        <f>IF(ISNUMBER(BB31/BA31),BB31/BA31, " - ")</f>
        <v>1.82114493712773</v>
      </c>
      <c r="BF31" s="224">
        <f>IF(ISNUMBER(BC31/BA31),BC31/BA31, " - ")</f>
        <v>0.27465254798146921</v>
      </c>
      <c r="BG31" s="145">
        <f>IF(ISNUMBER((AY31+AZ31)/BA31),(AY31+AZ31)/BA31," - ")</f>
        <v>2.8158504301786897</v>
      </c>
      <c r="BH31" s="225">
        <f>SUBTOTAL(9,BH9:BH30)</f>
        <v>13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ZKi+hIRpOocg/L+sxscEmIMErTSCBAI+6V0Hxhfl8Ld5eBx0zmp2cNlTKlP3iIKHPOXnnDSZ4ZvdMMHSydxWQ==" saltValue="NfvIskYnIcpH1jLpj5kK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cGOzQBNpCkfYFf4ROCBygZXhvQzMjrKGwbHI7Rh29AZvQNSjhJ9DaKkIS8j4lU965vsN+5AkGkkqaS7JicNtw==" saltValue="4o8qPF+ngaU0yc8E5j7Y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GUADALAJARA  Resumenes por Partidos Judiciales  GUADALAJARA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2 al 2</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317</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113</v>
      </c>
      <c r="O9" s="549"/>
      <c r="P9" s="549"/>
      <c r="Q9" s="547">
        <f>IF(ISNUMBER(Datos!P9),Datos!P9,0)</f>
        <v>644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366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96</v>
      </c>
      <c r="AI9" s="549" t="str">
        <f>IF(ISNUMBER(Datos!CD9),Datos!CD9,"-")</f>
        <v>-</v>
      </c>
      <c r="AJ9" s="549" t="str">
        <f>IF(ISNUMBER(Datos!EN9),Datos!EN9," - ")</f>
        <v xml:space="preserve"> - </v>
      </c>
      <c r="AK9" s="549"/>
      <c r="AL9" s="550"/>
      <c r="AM9" s="766">
        <f>IF(ISNUMBER(Datos!R9),Datos!R9," - ")</f>
        <v>11915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569</v>
      </c>
      <c r="BD9" s="693">
        <f>IF(ISNUMBER(Datos!N9),Datos!N9," - ")</f>
        <v>1200</v>
      </c>
      <c r="BE9" s="693" t="str">
        <f>IF(ISNUMBER(Datos!BW9),Datos!BW9," - ")</f>
        <v xml:space="preserve"> - </v>
      </c>
      <c r="BF9" s="762" t="str">
        <f>IF(ISNUMBER(Datos!BX9),Datos!BX9," - ")</f>
        <v xml:space="preserve"> - </v>
      </c>
      <c r="BG9" s="763">
        <f>IF(ISNUMBER(IF(J_V="SI",Datos!K9/Datos!J9,(Datos!K9+Datos!AA9)/(Datos!J9+Datos!Z9))),IF(J_V="SI",Datos!K9/Datos!J9,(Datos!K9+Datos!AA9)/(Datos!J9+Datos!Z9))," - ")</f>
        <v>0.99358974358974361</v>
      </c>
      <c r="BH9" s="764">
        <f>IF(ISNUMBER(((IF(J_V="SI",Datos!L9/Datos!K9,(Datos!L9+Datos!AB9)/(Datos!K9+Datos!AA9)))*11)/factor_trimestre),((IF(J_V="SI",Datos!L9/Datos!K9,(Datos!L9+Datos!AB9)/(Datos!K9+Datos!AA9)))*11)/factor_trimestre," - ")</f>
        <v>7.4215053763440864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2.3889318552891638E-2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317</v>
      </c>
      <c r="C10" s="747" t="str">
        <f>Datos!A10</f>
        <v>Jdos. Violencia contra la mujer</v>
      </c>
      <c r="D10" s="601"/>
      <c r="E10" s="764">
        <f>IF(ISNUMBER(Datos!AQ10),Datos!AQ10," - ")</f>
        <v>0</v>
      </c>
      <c r="F10" s="552">
        <f>IF(ISNUMBER(Datos!L10+Datos!K10-Datos!J10),Datos!L10+Datos!K10-Datos!J10," - ")</f>
        <v>170</v>
      </c>
      <c r="G10" s="543">
        <f>IF(ISNUMBER(Datos!I10),Datos!I10," - ")</f>
        <v>170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35</v>
      </c>
      <c r="AC10" s="547">
        <f>IF(ISNUMBER(Datos!Q10),Datos!Q10," - ")</f>
        <v>1</v>
      </c>
      <c r="AD10" s="549"/>
      <c r="AE10" s="563"/>
      <c r="AF10" s="551">
        <f>IF(ISNUMBER(Datos!L10),Datos!L10,"-")</f>
        <v>145</v>
      </c>
      <c r="AG10" s="549"/>
      <c r="AH10" s="549"/>
      <c r="AI10" s="549"/>
      <c r="AJ10" s="549"/>
      <c r="AK10" s="549"/>
      <c r="AL10" s="550"/>
      <c r="AM10" s="766">
        <f>IF(ISNUMBER(Datos!R10),Datos!R10," - ")</f>
        <v>96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19</v>
      </c>
      <c r="BD10" s="693">
        <f>IF(ISNUMBER(Datos!N10),Datos!N10," - ")</f>
        <v>5</v>
      </c>
      <c r="BE10" s="693" t="str">
        <f>IF(ISNUMBER(Datos!BW10),Datos!BW10," - ")</f>
        <v xml:space="preserve"> - </v>
      </c>
      <c r="BF10" s="762" t="str">
        <f>IF(ISNUMBER(Datos!BX10),Datos!BX10," - ")</f>
        <v xml:space="preserve"> - </v>
      </c>
      <c r="BG10" s="763">
        <f>IF(ISNUMBER(Datos!K10/Datos!J10),Datos!K10/Datos!J10," - ")</f>
        <v>3.5</v>
      </c>
      <c r="BH10" s="764">
        <f>IF(ISNUMBER(((Datos!L10/Datos!K10)*11)/factor_trimestre),((Datos!L10/Datos!K10)*11)/factor_trimestre," - ")</f>
        <v>12.428571428571431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6.6666666666666666E-2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90</v>
      </c>
      <c r="O11" s="549"/>
      <c r="P11" s="549"/>
      <c r="Q11" s="547">
        <f>IF(ISNUMBER(Datos!P11),Datos!P11,0)</f>
        <v>59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139</v>
      </c>
      <c r="AD11" s="549"/>
      <c r="AE11" s="563"/>
      <c r="AF11" s="551" t="str">
        <f>IF(ISNUMBER(IF(J_V="SI",Datos!L11,Datos!L11+Datos!AB11)-IF(Monitorios="SI",Datos!CD11,0)),
                          IF(J_V="SI",Datos!L11,Datos!L11+Datos!AB11)-IF(Monitorios="SI",Datos!CD11,0),
                          " - ")</f>
        <v xml:space="preserve"> - </v>
      </c>
      <c r="AG11" s="549"/>
      <c r="AH11" s="549">
        <f>IF(ISNUMBER(Datos!AB11),Datos!AB11,"-")</f>
        <v>360</v>
      </c>
      <c r="AI11" s="549"/>
      <c r="AJ11" s="549"/>
      <c r="AK11" s="549"/>
      <c r="AL11" s="550"/>
      <c r="AM11" s="766">
        <f>IF(ISNUMBER(Datos!R11),Datos!R11," - ")</f>
        <v>1048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148</v>
      </c>
      <c r="BD11" s="693">
        <f>IF(ISNUMBER(Datos!N11),Datos!N11," - ")</f>
        <v>210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0.8545454545454545</v>
      </c>
      <c r="BH11" s="764">
        <f>IF(ISNUMBER(((IF(J_V="SI",Datos!L11/Datos!K11,(Datos!L11+Datos!AB11)/(Datos!K11+Datos!AA11)))*11)/factor_trimestre),((IF(J_V="SI",Datos!L11/Datos!K11,(Datos!L11+Datos!AB11)/(Datos!K11+Datos!AA11)))*11)/factor_trimestre," - ")</f>
        <v>10.187234042553191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-7.0921985815602842E-2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29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3.5714285714285712E-2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170</v>
      </c>
      <c r="G14" s="1197">
        <f t="shared" si="1"/>
        <v>170</v>
      </c>
      <c r="H14" s="1198">
        <f t="shared" si="1"/>
        <v>0</v>
      </c>
      <c r="I14" s="1197">
        <f t="shared" si="1"/>
        <v>0</v>
      </c>
      <c r="J14" s="1164">
        <f t="shared" si="1"/>
        <v>0</v>
      </c>
      <c r="K14" s="1164">
        <f t="shared" si="1"/>
        <v>0</v>
      </c>
      <c r="L14" s="1198">
        <f t="shared" si="1"/>
        <v>0</v>
      </c>
      <c r="M14" s="1198">
        <f t="shared" si="1"/>
        <v>0</v>
      </c>
      <c r="N14" s="1198">
        <f t="shared" si="1"/>
        <v>203</v>
      </c>
      <c r="O14" s="1199">
        <f t="shared" si="1"/>
        <v>0</v>
      </c>
      <c r="P14" s="1199">
        <f t="shared" si="1"/>
        <v>0</v>
      </c>
      <c r="Q14" s="1198">
        <f t="shared" si="1"/>
        <v>711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35</v>
      </c>
      <c r="AC14" s="1198">
        <f t="shared" si="2"/>
        <v>506</v>
      </c>
      <c r="AD14" s="1198">
        <f t="shared" si="2"/>
        <v>0</v>
      </c>
      <c r="AE14" s="1198">
        <f t="shared" si="2"/>
        <v>0</v>
      </c>
      <c r="AF14" s="1198">
        <f t="shared" si="2"/>
        <v>145</v>
      </c>
      <c r="AG14" s="1198">
        <f t="shared" si="2"/>
        <v>0</v>
      </c>
      <c r="AH14" s="1198">
        <f t="shared" si="2"/>
        <v>456</v>
      </c>
      <c r="AI14" s="1198">
        <f t="shared" si="2"/>
        <v>0</v>
      </c>
      <c r="AJ14" s="1198">
        <f t="shared" si="2"/>
        <v>0</v>
      </c>
      <c r="AK14" s="1198">
        <f t="shared" si="2"/>
        <v>0</v>
      </c>
      <c r="AL14" s="1198">
        <f t="shared" si="2"/>
        <v>0</v>
      </c>
      <c r="AM14" s="1198">
        <f t="shared" si="2"/>
        <v>13088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736</v>
      </c>
      <c r="BD14" s="1198">
        <f t="shared" si="2"/>
        <v>1415</v>
      </c>
      <c r="BE14" s="1198">
        <f t="shared" si="2"/>
        <v>0</v>
      </c>
      <c r="BF14" s="1198">
        <f t="shared" si="2"/>
        <v>0</v>
      </c>
      <c r="BG14" s="1198">
        <f>IF(ISNUMBER(Datos!K14/Datos!J14),Datos!K14/Datos!J14," - ")</f>
        <v>0.96556082148499212</v>
      </c>
      <c r="BH14" s="1202">
        <f>IF(ISNUMBER(((Datos!L14/Datos!K14)*11)/factor_trimestre),((Datos!L14/Datos!K14)*11)/factor_trimestre," - ")</f>
        <v>8.0369764397905765</v>
      </c>
      <c r="BI14" s="1198">
        <f>IF(ISNUMBER('Resol  Asuntos'!D14/NºAsuntos!G14),'Resol  Asuntos'!D14/NºAsuntos!G14," - ")</f>
        <v>0.22336874051593322</v>
      </c>
      <c r="BJ14" s="1198" t="str">
        <f>IF(ISNUMBER(Datos!CI14/Datos!CJ14),Datos!CI14/Datos!CJ14," - ")</f>
        <v xml:space="preserve"> - </v>
      </c>
      <c r="BK14" s="1198">
        <f>SUBTOTAL(9,BK8:BK13)</f>
        <v>0</v>
      </c>
      <c r="BL14" s="1198">
        <f>IF(ISNUMBER((I14-AB14+L14)/(F14)),(I14-AB14+L14)/(F14)," - ")</f>
        <v>-0.20588235294117646</v>
      </c>
      <c r="BM14" s="1203">
        <f>SUBTOTAL(9,BM9:BM13)</f>
        <v>5.5348285118241178E-2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507</v>
      </c>
      <c r="C16" s="749" t="str">
        <f>Datos!A16</f>
        <v xml:space="preserve">Jdos. Instrucción                               </v>
      </c>
      <c r="D16" s="750"/>
      <c r="E16" s="1555">
        <f>IF(ISNUMBER(Datos!AQ16),Datos!AQ16," - ")</f>
        <v>4</v>
      </c>
      <c r="F16" s="740">
        <f>IF(ISNUMBER(AF16+AB16-Datos!J16-L16),AF16+AB16-Datos!J16-L16," - ")</f>
        <v>2279</v>
      </c>
      <c r="G16" s="743">
        <f>IF(ISNUMBER(IF(D_I="SI",Datos!I16,Datos!I16+Datos!AC16)),IF(D_I="SI",Datos!I16,Datos!I16+Datos!AC16)," - ")</f>
        <v>2007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118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2870</v>
      </c>
      <c r="AC16" s="240">
        <f>IF(ISNUMBER(Datos!Q16),Datos!Q16," - ")</f>
        <v>55</v>
      </c>
      <c r="AD16" s="374"/>
      <c r="AE16" s="562"/>
      <c r="AF16" s="741">
        <f>IF(ISNUMBER(IF(D_I="SI",Datos!L16,Datos!L16+Datos!AF16)),IF(D_I="SI",Datos!L16,Datos!L16+Datos!AF16)," - ")</f>
        <v>2143</v>
      </c>
      <c r="AG16" s="374"/>
      <c r="AH16" s="374"/>
      <c r="AI16" s="374"/>
      <c r="AJ16" s="549"/>
      <c r="AK16" s="374"/>
      <c r="AL16" s="545"/>
      <c r="AM16" s="375">
        <f>IF(ISNUMBER(Datos!R16),Datos!R16," - ")</f>
        <v>484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363</v>
      </c>
      <c r="BD16" s="243">
        <f>IF(ISNUMBER(Datos!N16),Datos!N16," - ")</f>
        <v>1856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1.0497439648866129</v>
      </c>
      <c r="BH16" s="764">
        <f>IF(ISNUMBER(((IF(D_I="SI",Datos!L16/Datos!K16,(Datos!L16+Datos!AF16)/(Datos!K16+Datos!AE16)))*11)/factor_trimestre),((IF(D_I="SI",Datos!L16/Datos!K16,(Datos!L16+Datos!AF16)/(Datos!K16+Datos!AE16)))*11)/factor_trimestre," - ")</f>
        <v>2.2400696864111498</v>
      </c>
      <c r="BI16" s="266">
        <f>IF(ISNUMBER('Resol  Asuntos'!D16/NºAsuntos!G16),'Resol  Asuntos'!D16/NºAsuntos!G16," - ")</f>
        <v>0.12648083623693379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507</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353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418</v>
      </c>
      <c r="AC18" s="547">
        <f>IF(ISNUMBER(Datos!Q18),Datos!Q18," - ")</f>
        <v>0</v>
      </c>
      <c r="AD18" s="549"/>
      <c r="AE18" s="562"/>
      <c r="AF18" s="551">
        <f>IF(ISNUMBER(Datos!L18),Datos!L18,"-")</f>
        <v>293</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269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1.1774647887323944</v>
      </c>
      <c r="BH18" s="764">
        <f>IF(ISNUMBER(((IF(D_I="SI",Datos!L18/Datos!K18,(Datos!L18+Datos!AF18)/(Datos!K18+Datos!AE18)))*11)/factor_trimestre),((IF(D_I="SI",Datos!L18/Datos!K18,(Datos!L18+Datos!AF18)/(Datos!K18+Datos!AE18)))*11)/factor_trimestre," - ")</f>
        <v>2.1028708133971294</v>
      </c>
      <c r="BI18" s="763">
        <f>IF(ISNUMBER('Resol  Asuntos'!D18/NºAsuntos!G18),'Resol  Asuntos'!D18/NºAsuntos!G18," - ")</f>
        <v>4.0669856459330141E-2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2279</v>
      </c>
      <c r="G23" s="1197">
        <f>SUBTOTAL(9,G16:G22)</f>
        <v>2360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3288</v>
      </c>
      <c r="AC23" s="1198">
        <f t="shared" si="5"/>
        <v>55</v>
      </c>
      <c r="AD23" s="1198">
        <f t="shared" si="5"/>
        <v>0</v>
      </c>
      <c r="AE23" s="1198">
        <f t="shared" si="5"/>
        <v>0</v>
      </c>
      <c r="AF23" s="1198">
        <f t="shared" si="5"/>
        <v>2436</v>
      </c>
      <c r="AG23" s="1198">
        <f t="shared" si="5"/>
        <v>0</v>
      </c>
      <c r="AH23" s="1198">
        <f t="shared" si="5"/>
        <v>0</v>
      </c>
      <c r="AI23" s="1198">
        <f t="shared" si="5"/>
        <v>0</v>
      </c>
      <c r="AJ23" s="1198">
        <f t="shared" si="5"/>
        <v>0</v>
      </c>
      <c r="AK23" s="1198">
        <f t="shared" si="5"/>
        <v>0</v>
      </c>
      <c r="AL23" s="1198">
        <f t="shared" si="5"/>
        <v>0</v>
      </c>
      <c r="AM23" s="1198">
        <f t="shared" si="5"/>
        <v>493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380</v>
      </c>
      <c r="BD23" s="1198">
        <f t="shared" si="5"/>
        <v>2125</v>
      </c>
      <c r="BE23" s="1198">
        <f t="shared" si="5"/>
        <v>0</v>
      </c>
      <c r="BF23" s="1198">
        <f t="shared" si="5"/>
        <v>0</v>
      </c>
      <c r="BG23" s="1198">
        <f>IF(ISNUMBER(Datos!K23/Datos!J23),Datos!K23/Datos!J23," - ")</f>
        <v>1.064422143088378</v>
      </c>
      <c r="BH23" s="1202">
        <f>IF(ISNUMBER(((Datos!L23/Datos!K23)*11)/factor_trimestre),((Datos!L23/Datos!K23)*11)/factor_trimestre," - ")</f>
        <v>2.2226277372262775</v>
      </c>
      <c r="BI23" s="1198">
        <f>SUBTOTAL(9,BI16:BI22)</f>
        <v>0.16715069269626393</v>
      </c>
      <c r="BJ23" s="1198">
        <f>SUBTOTAL(9,BJ16:BJ22)</f>
        <v>0</v>
      </c>
      <c r="BK23" s="1198">
        <f>SUBTOTAL(9,BK16:BK22)</f>
        <v>0</v>
      </c>
      <c r="BL23" s="1198">
        <f>IF(ISNUMBER((I23-AB23+L23)/(F23)),(I23-AB23+L23)/(F23)," - ")</f>
        <v>-1.4427380430013164</v>
      </c>
      <c r="BM23" s="1205">
        <f>IF(ISNUMBER((Datos!P23-Datos!Q23)/(Datos!R23-Datos!P23+Datos!Q23)),(Datos!P23-Datos!Q23)/(Datos!R23-Datos!P23+Datos!Q23)," - ")</f>
        <v>0.15186915887850466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2449</v>
      </c>
      <c r="G31" s="1117">
        <f t="shared" si="18"/>
        <v>2530</v>
      </c>
      <c r="H31" s="1119">
        <f t="shared" si="18"/>
        <v>0</v>
      </c>
      <c r="I31" s="1117">
        <f t="shared" si="18"/>
        <v>0</v>
      </c>
      <c r="J31" s="1119">
        <f t="shared" si="18"/>
        <v>0</v>
      </c>
      <c r="K31" s="1119">
        <f t="shared" si="18"/>
        <v>0</v>
      </c>
      <c r="L31" s="1180">
        <f t="shared" si="18"/>
        <v>0</v>
      </c>
      <c r="M31" s="1180">
        <f t="shared" si="18"/>
        <v>0</v>
      </c>
      <c r="N31" s="1180">
        <f t="shared" si="18"/>
        <v>203</v>
      </c>
      <c r="O31" s="1180">
        <f t="shared" si="18"/>
        <v>0</v>
      </c>
      <c r="P31" s="1180">
        <f t="shared" si="18"/>
        <v>0</v>
      </c>
      <c r="Q31" s="1119">
        <f t="shared" si="18"/>
        <v>831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3323</v>
      </c>
      <c r="AC31" s="1118">
        <f t="shared" si="19"/>
        <v>561</v>
      </c>
      <c r="AD31" s="1118">
        <f t="shared" si="19"/>
        <v>0</v>
      </c>
      <c r="AE31" s="1118">
        <f t="shared" si="19"/>
        <v>0</v>
      </c>
      <c r="AF31" s="1125">
        <f t="shared" si="19"/>
        <v>2581</v>
      </c>
      <c r="AG31" s="1125">
        <f t="shared" si="19"/>
        <v>0</v>
      </c>
      <c r="AH31" s="1125">
        <f t="shared" si="19"/>
        <v>456</v>
      </c>
      <c r="AI31" s="1125">
        <f t="shared" si="19"/>
        <v>0</v>
      </c>
      <c r="AJ31" s="1118">
        <f t="shared" si="19"/>
        <v>0</v>
      </c>
      <c r="AK31" s="1125">
        <f t="shared" si="19"/>
        <v>0</v>
      </c>
      <c r="AL31" s="1125">
        <f t="shared" si="19"/>
        <v>0</v>
      </c>
      <c r="AM31" s="1125">
        <f t="shared" si="19"/>
        <v>13581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1116</v>
      </c>
      <c r="BD31" s="1117">
        <f t="shared" si="19"/>
        <v>3540</v>
      </c>
      <c r="BE31" s="1117">
        <f t="shared" si="19"/>
        <v>0</v>
      </c>
      <c r="BF31" s="1127">
        <f t="shared" si="19"/>
        <v>0</v>
      </c>
      <c r="BG31" s="1223">
        <f>IF(ISNUMBER(Datos!K31/Datos!J31),Datos!K31/Datos!J31," - ")</f>
        <v>1.0143907898944675</v>
      </c>
      <c r="BH31" s="1223">
        <f>IF(ISNUMBER(((Datos!L31/Datos!K31)*11)/factor_trimestre),((Datos!L31/Datos!K31)*11)/factor_trimestre," - ")</f>
        <v>5.0234867591424965</v>
      </c>
      <c r="BI31" s="1103">
        <f>IF(ISNUMBER(Datos!J31/Datos!I31),Datos!J31/Datos!I31," - ")</f>
        <v>0.59217877094972071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-1.3568803593303389</v>
      </c>
      <c r="BM31" s="1188">
        <f>IF(ISNUMBER((Datos!P31-Datos!Q31+R31)/(Datos!R31-Datos!P31+Datos!Q31-R31)),(Datos!P31-Datos!Q31+R31)/(Datos!R31-Datos!P31+Datos!Q31-R31)," - ")</f>
        <v>2.0283975659229209E-2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722.85714285714289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2.5351332479369448</v>
      </c>
      <c r="F33" s="673">
        <f>IF(ISNUMBER(STDEV(F8:F30)),STDEV(F8:F30),"-")</f>
        <v>1135.5246658116532</v>
      </c>
      <c r="G33" s="674">
        <f>IF(ISNUMBER(STDEV(G8:G30)),STDEV(G8:G30),"-")</f>
        <v>1010.1485746449098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1467.1466476512448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272.02892003118592</v>
      </c>
      <c r="BD33" s="673"/>
      <c r="BE33" s="673">
        <f>IF(ISNUMBER(STDEV(BE8:BE30)),STDEV(BE8:BE30),"-")</f>
        <v>0</v>
      </c>
      <c r="BF33" s="678">
        <f>IF(ISNUMBER(STDEV(BF8:BF30)),STDEV(BF8:BF30),"-")</f>
        <v>0</v>
      </c>
      <c r="BG33" s="1052">
        <f>IF(ISNUMBER(STDEV(BG8:BG30)),STDEV(BG8:BG30),"-")</f>
        <v>0.94347117264941094</v>
      </c>
      <c r="BH33" s="1058">
        <f>IF(ISNUMBER(STDEV(BH8:BH30)),STDEV(BH8:BH30),"-")</f>
        <v>4.2353098074877007</v>
      </c>
      <c r="BI33" s="273">
        <f>IF(ISNUMBER(STDEV(BI8:BI30)),STDEV(BI8:BI30),"-")</f>
        <v>7.688822002414078E-2</v>
      </c>
      <c r="BJ33" s="244" t="str">
        <f>IF(ISNUMBER(BL33/BM33),BL33/BM33," - ")</f>
        <v xml:space="preserve"> - </v>
      </c>
      <c r="BK33" s="709"/>
      <c r="BL33" s="681">
        <f>IF(ISNUMBER(STDEV(BL8:BL30)),STDEV(BL8:BL30),"-")</f>
        <v>0.87458904579069163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627eWE6vINVyrviXqZ/xLiByY/JeGITeKHjq+fcRf59E7ApFSx4YYW4M2AEElYi3T5X29MtiN56IFAnu18pIHA==" saltValue="61uEyxt3LL7JIRQOMY6I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GUADALAJARA  Resumenes por Partidos Judiciales  GUADALAJARA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2 al 2</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644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366</v>
      </c>
      <c r="AA9" s="551" t="str">
        <f>IF(ISNUMBER(IF(J_V="SI",Datos!L9,Datos!L9+Datos!AB9)-IF(Monitorios="SI",Datos!CD9,0)),
                          IF(J_V="SI",Datos!L9,Datos!L9+Datos!AB9)-IF(Monitorios="SI",Datos!CD9,0),
                          " - ")</f>
        <v xml:space="preserve"> - </v>
      </c>
      <c r="AB9" s="549"/>
      <c r="AC9" s="549"/>
      <c r="AD9" s="563"/>
      <c r="AE9" s="563">
        <f>IF(ISNUMBER(Datos!R9),Datos!R9," - ")</f>
        <v>11915</v>
      </c>
      <c r="AF9" s="693" t="str">
        <f>IF(ISNUMBER(Datos!BV9),Datos!BV9," - ")</f>
        <v xml:space="preserve"> - </v>
      </c>
      <c r="AG9" s="552" t="str">
        <f>IF(ISNUMBER(Datos!DV9),Datos!DV9," - ")</f>
        <v xml:space="preserve"> - </v>
      </c>
      <c r="AH9" s="553"/>
      <c r="AI9" s="554"/>
      <c r="AJ9" s="552">
        <f>IF(ISNUMBER(Datos!M9),Datos!M9," - ")</f>
        <v>569</v>
      </c>
      <c r="AK9" s="693">
        <f>IF(ISNUMBER(Datos!N9),Datos!N9," - ")</f>
        <v>1200</v>
      </c>
      <c r="AL9" s="693" t="str">
        <f>IF(ISNUMBER(Datos!BW9),Datos!BW9," - ")</f>
        <v xml:space="preserve"> - </v>
      </c>
      <c r="AM9" s="762" t="str">
        <f>IF(ISNUMBER(Datos!BX9),Datos!BX9," - ")</f>
        <v xml:space="preserve"> - </v>
      </c>
      <c r="AN9" s="763"/>
      <c r="AO9" s="764">
        <f>IF(ISNUMBER(((NºAsuntos!I9/NºAsuntos!G9)*11)/factor_trimestre),((NºAsuntos!I9/NºAsuntos!G9)*11)/factor_trimestre," - ")</f>
        <v>7.4215053763440864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2.3889318552891638E-2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317</v>
      </c>
      <c r="C10" s="747" t="str">
        <f>Datos!A10</f>
        <v>Jdos. Violencia contra la mujer</v>
      </c>
      <c r="D10" s="601"/>
      <c r="E10" s="1558">
        <f>IF(ISNUMBER(Datos!AQ10),Datos!AQ10," - ")</f>
        <v>0</v>
      </c>
      <c r="F10" s="552">
        <f>IF(ISNUMBER(Datos!L10+Datos!K10-Datos!J10),Datos!L10+Datos!K10-Datos!J10," - ")</f>
        <v>170</v>
      </c>
      <c r="G10" s="552">
        <f>IF(ISNUMBER(Datos!I10),Datos!I10," - ")</f>
        <v>170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35</v>
      </c>
      <c r="Z10" s="805">
        <f>IF(ISNUMBER(Datos!Q10),Datos!Q10," - ")</f>
        <v>1</v>
      </c>
      <c r="AA10" s="551">
        <f>IF(ISNUMBER(Datos!L10),Datos!L10,"-")</f>
        <v>145</v>
      </c>
      <c r="AB10" s="549"/>
      <c r="AC10" s="549"/>
      <c r="AD10" s="563"/>
      <c r="AE10" s="563">
        <f>IF(ISNUMBER(Datos!R10),Datos!R10," - ")</f>
        <v>96</v>
      </c>
      <c r="AF10" s="693" t="str">
        <f>IF(ISNUMBER(Datos!BV10),Datos!BV10," - ")</f>
        <v xml:space="preserve"> - </v>
      </c>
      <c r="AG10" s="552" t="str">
        <f>IF(ISNUMBER(Datos!DV10),Datos!DV10," - ")</f>
        <v xml:space="preserve"> - </v>
      </c>
      <c r="AH10" s="553"/>
      <c r="AI10" s="554"/>
      <c r="AJ10" s="552">
        <f>IF(ISNUMBER(Datos!M10),Datos!M10," - ")</f>
        <v>19</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12.428571428571431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6.6666666666666666E-2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139</v>
      </c>
      <c r="AA11" s="551" t="str">
        <f>IF(ISNUMBER(IF(J_V="SI",Datos!L11,Datos!L11+Datos!AB11)-IF(Monitorios="SI",Datos!CD11,0)),
                          IF(J_V="SI",Datos!L11,Datos!L11+Datos!AB11)-IF(Monitorios="SI",Datos!CD11,0),
                          " - ")</f>
        <v xml:space="preserve"> - </v>
      </c>
      <c r="AB11" s="549"/>
      <c r="AC11" s="549"/>
      <c r="AD11" s="563"/>
      <c r="AE11" s="563">
        <f>IF(ISNUMBER(Datos!R11),Datos!R11," - ")</f>
        <v>1048</v>
      </c>
      <c r="AF11" s="693" t="str">
        <f>IF(ISNUMBER(Datos!BV11),Datos!BV11," - ")</f>
        <v xml:space="preserve"> - </v>
      </c>
      <c r="AG11" s="552" t="str">
        <f>IF(ISNUMBER(Datos!DV11),Datos!DV11," - ")</f>
        <v xml:space="preserve"> - </v>
      </c>
      <c r="AH11" s="553"/>
      <c r="AI11" s="554"/>
      <c r="AJ11" s="552">
        <f>IF(ISNUMBER(Datos!M11),Datos!M11," - ")</f>
        <v>148</v>
      </c>
      <c r="AK11" s="693">
        <f>IF(ISNUMBER(Datos!N11),Datos!N11," - ")</f>
        <v>210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10.187234042553191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-7.0921985815602842E-2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29</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3.5714285714285712E-2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170</v>
      </c>
      <c r="G14" s="1197">
        <f>SUBTOTAL(9,G8:G13)</f>
        <v>170</v>
      </c>
      <c r="H14" s="1211"/>
      <c r="I14" s="1197">
        <f t="shared" ref="I14:N14" si="1">SUBTOTAL(9,I8:I13)</f>
        <v>0</v>
      </c>
      <c r="J14" s="1164">
        <f t="shared" si="1"/>
        <v>0</v>
      </c>
      <c r="K14" s="1211">
        <f t="shared" si="1"/>
        <v>0</v>
      </c>
      <c r="L14" s="1211">
        <f t="shared" si="1"/>
        <v>0</v>
      </c>
      <c r="M14" s="1211">
        <f t="shared" si="1"/>
        <v>0</v>
      </c>
      <c r="N14" s="1211">
        <f t="shared" si="1"/>
        <v>711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35</v>
      </c>
      <c r="Z14" s="1210">
        <f t="shared" si="3"/>
        <v>506</v>
      </c>
      <c r="AA14" s="1199">
        <f t="shared" si="3"/>
        <v>145</v>
      </c>
      <c r="AB14" s="1199">
        <f t="shared" si="3"/>
        <v>0</v>
      </c>
      <c r="AC14" s="1199">
        <f t="shared" si="3"/>
        <v>0</v>
      </c>
      <c r="AD14" s="1199">
        <f t="shared" si="3"/>
        <v>0</v>
      </c>
      <c r="AE14" s="1199">
        <f t="shared" si="3"/>
        <v>13088</v>
      </c>
      <c r="AF14" s="1211">
        <f t="shared" si="3"/>
        <v>0</v>
      </c>
      <c r="AG14" s="1211">
        <f t="shared" si="3"/>
        <v>0</v>
      </c>
      <c r="AH14" s="1211">
        <f t="shared" si="3"/>
        <v>0</v>
      </c>
      <c r="AI14" s="1211">
        <f t="shared" si="3"/>
        <v>0</v>
      </c>
      <c r="AJ14" s="1211">
        <f t="shared" si="3"/>
        <v>736</v>
      </c>
      <c r="AK14" s="1211">
        <f t="shared" si="3"/>
        <v>1415</v>
      </c>
      <c r="AL14" s="1211">
        <f t="shared" si="3"/>
        <v>0</v>
      </c>
      <c r="AM14" s="1211">
        <f t="shared" si="3"/>
        <v>0</v>
      </c>
      <c r="AN14" s="1211">
        <f t="shared" si="3"/>
        <v>0</v>
      </c>
      <c r="AO14" s="1203">
        <f>IF(ISNUMBER(((NºAsuntos!I14/NºAsuntos!G14)*11)/factor_trimestre),((NºAsuntos!I14/NºAsuntos!G14)*11)/factor_trimestre," - ")</f>
        <v>7.8691957511380872</v>
      </c>
      <c r="AP14" s="1213" t="str">
        <f>IF(ISNUMBER(Datos!CI14/Datos!CJ14),Datos!CI14/Datos!CJ14," - ")</f>
        <v xml:space="preserve"> - </v>
      </c>
      <c r="AQ14" s="1236">
        <f t="shared" ref="AQ14:AV14" si="4">SUBTOTAL(9,AQ9:AQ13)</f>
        <v>0</v>
      </c>
      <c r="AR14" s="1236">
        <f t="shared" si="4"/>
        <v>5.5348285118241178E-2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507</v>
      </c>
      <c r="C16" s="765" t="str">
        <f>Datos!A16</f>
        <v xml:space="preserve">Jdos. Instrucción                               </v>
      </c>
      <c r="D16" s="593"/>
      <c r="E16" s="1558">
        <f>IF(ISNUMBER(Datos!AQ16),Datos!AQ16," - ")</f>
        <v>4</v>
      </c>
      <c r="F16" s="543">
        <f>IF(ISNUMBER(AA16+Y16-Datos!J16-K16),AA16+Y16-Datos!J16-K16," - ")</f>
        <v>2279</v>
      </c>
      <c r="G16" s="552">
        <f>IF(ISNUMBER(IF(D_I="SI",Datos!I16,Datos!I16+Datos!AC16)),IF(D_I="SI",Datos!I16,Datos!I16+Datos!AC16)," - ")</f>
        <v>2007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118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2870</v>
      </c>
      <c r="Z16" s="805">
        <f>IF(ISNUMBER(Datos!Q16),Datos!Q16," - ")</f>
        <v>55</v>
      </c>
      <c r="AA16" s="551">
        <f>IF(ISNUMBER(IF(D_I="SI",Datos!L16,Datos!L16+Datos!AF16)),IF(D_I="SI",Datos!L16,Datos!L16+Datos!AF16)," - ")</f>
        <v>2143</v>
      </c>
      <c r="AB16" s="549"/>
      <c r="AC16" s="549"/>
      <c r="AD16" s="563"/>
      <c r="AE16" s="563">
        <f>IF(ISNUMBER(Datos!R16),Datos!R16," - ")</f>
        <v>484</v>
      </c>
      <c r="AF16" s="693" t="str">
        <f>IF(ISNUMBER(Datos!BV16),Datos!BV16," - ")</f>
        <v xml:space="preserve"> - </v>
      </c>
      <c r="AG16" s="552"/>
      <c r="AH16" s="553"/>
      <c r="AI16" s="554"/>
      <c r="AJ16" s="552">
        <f>IF(ISNUMBER(Datos!M16),Datos!M16," - ")</f>
        <v>363</v>
      </c>
      <c r="AK16" s="693">
        <f>IF(ISNUMBER(Datos!N16),Datos!N16," - ")</f>
        <v>1856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2.2400696864111498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507</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353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418</v>
      </c>
      <c r="Z18" s="805">
        <f>IF(ISNUMBER(Datos!Q18),Datos!Q18," - ")</f>
        <v>0</v>
      </c>
      <c r="AA18" s="551">
        <f>IF(ISNUMBER(Datos!L18),Datos!L18,"-")</f>
        <v>293</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17</v>
      </c>
      <c r="AK18" s="693">
        <f>IF(ISNUMBER(Datos!N18),Datos!N18," - ")</f>
        <v>269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2.1028708133971294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2279</v>
      </c>
      <c r="G23" s="1197">
        <f>SUBTOTAL(9,G16:G22)</f>
        <v>2360</v>
      </c>
      <c r="H23" s="1240">
        <f>SUBTOTAL(9,H16:H22)</f>
        <v>0</v>
      </c>
      <c r="I23" s="1217">
        <f>SUBTOTAL(9,I16:I22)</f>
        <v>0</v>
      </c>
      <c r="J23" s="1164">
        <f>SUBTOTAL(9,J15:J22)</f>
        <v>0</v>
      </c>
      <c r="K23" s="1240">
        <f t="shared" ref="K23:S23" si="5">SUBTOTAL(9,K16:K22)</f>
        <v>0</v>
      </c>
      <c r="L23" s="1240">
        <f t="shared" si="5"/>
        <v>0</v>
      </c>
      <c r="M23" s="1240">
        <f t="shared" si="5"/>
        <v>0</v>
      </c>
      <c r="N23" s="1240">
        <f t="shared" si="5"/>
        <v>120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3288</v>
      </c>
      <c r="Z23" s="1240">
        <f t="shared" si="6"/>
        <v>55</v>
      </c>
      <c r="AA23" s="1240">
        <f t="shared" si="6"/>
        <v>2436</v>
      </c>
      <c r="AB23" s="1240">
        <f t="shared" si="6"/>
        <v>0</v>
      </c>
      <c r="AC23" s="1240">
        <f t="shared" si="6"/>
        <v>0</v>
      </c>
      <c r="AD23" s="1240">
        <f t="shared" si="6"/>
        <v>0</v>
      </c>
      <c r="AE23" s="1240">
        <f t="shared" si="6"/>
        <v>493</v>
      </c>
      <c r="AF23" s="1240">
        <f t="shared" si="6"/>
        <v>0</v>
      </c>
      <c r="AG23" s="1240">
        <f t="shared" si="6"/>
        <v>0</v>
      </c>
      <c r="AH23" s="1240">
        <f t="shared" si="6"/>
        <v>0</v>
      </c>
      <c r="AI23" s="1240">
        <f t="shared" si="6"/>
        <v>0</v>
      </c>
      <c r="AJ23" s="1240">
        <f t="shared" si="6"/>
        <v>380</v>
      </c>
      <c r="AK23" s="1240">
        <f t="shared" si="6"/>
        <v>2125</v>
      </c>
      <c r="AL23" s="1240">
        <f t="shared" si="6"/>
        <v>0</v>
      </c>
      <c r="AM23" s="1240">
        <f t="shared" si="6"/>
        <v>0</v>
      </c>
      <c r="AN23" s="1240">
        <f t="shared" si="6"/>
        <v>0</v>
      </c>
      <c r="AO23" s="1242">
        <f>IF(ISNUMBER(((NºAsuntos!I23/NºAsuntos!G23)*11)/factor_trimestre),((NºAsuntos!I23/NºAsuntos!G23)*11)/factor_trimestre," - ")</f>
        <v>2.2226277372262775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2449</v>
      </c>
      <c r="G31" s="1117">
        <f t="shared" si="12"/>
        <v>2530</v>
      </c>
      <c r="H31" s="1118">
        <f t="shared" si="12"/>
        <v>0</v>
      </c>
      <c r="I31" s="1117">
        <f t="shared" si="12"/>
        <v>0</v>
      </c>
      <c r="J31" s="1119">
        <f t="shared" si="12"/>
        <v>0</v>
      </c>
      <c r="K31" s="1117">
        <f t="shared" si="12"/>
        <v>0</v>
      </c>
      <c r="L31" s="1120">
        <f t="shared" si="12"/>
        <v>0</v>
      </c>
      <c r="M31" s="1117">
        <f t="shared" si="12"/>
        <v>0</v>
      </c>
      <c r="N31" s="1118">
        <f t="shared" si="12"/>
        <v>831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3323</v>
      </c>
      <c r="Z31" s="1124">
        <f t="shared" si="13"/>
        <v>561</v>
      </c>
      <c r="AA31" s="1125">
        <f t="shared" si="13"/>
        <v>2581</v>
      </c>
      <c r="AB31" s="1125">
        <f t="shared" si="13"/>
        <v>0</v>
      </c>
      <c r="AC31" s="1125">
        <f t="shared" si="13"/>
        <v>0</v>
      </c>
      <c r="AD31" s="1126">
        <f t="shared" si="13"/>
        <v>0</v>
      </c>
      <c r="AE31" s="1126">
        <f t="shared" si="13"/>
        <v>13581</v>
      </c>
      <c r="AF31" s="1127">
        <f t="shared" si="13"/>
        <v>0</v>
      </c>
      <c r="AG31" s="1128">
        <f t="shared" si="13"/>
        <v>0</v>
      </c>
      <c r="AH31" s="1129">
        <f t="shared" si="13"/>
        <v>0</v>
      </c>
      <c r="AI31" s="1127">
        <f t="shared" si="13"/>
        <v>0</v>
      </c>
      <c r="AJ31" s="1117">
        <f t="shared" si="13"/>
        <v>1116</v>
      </c>
      <c r="AK31" s="1117">
        <f t="shared" si="13"/>
        <v>3540</v>
      </c>
      <c r="AL31" s="1117">
        <f t="shared" si="13"/>
        <v>0</v>
      </c>
      <c r="AM31" s="1130">
        <f t="shared" si="13"/>
        <v>0</v>
      </c>
      <c r="AN31" s="1120">
        <f>IF(ISNUMBER(Datos!K31/Datos!J31),Datos!K31/Datos!J31," - ")</f>
        <v>1.0143907898944675</v>
      </c>
      <c r="AO31" s="1120">
        <f>IF(ISNUMBER(FIND("06",Criterios!A8,1)),(IF(ISNUMBER(((Datos!R31/Datos!Q31)*11)/factor_trimestre),((Datos!R31/Datos!Q31)*11)/factor_trimestre," - ")),(IF(ISNUMBER(((Datos!L31/Datos!K31)*11)/factor_trimestre),((Datos!L31/Datos!K31)*11)/factor_trimestre," - ")))</f>
        <v>5.0234867591424965</v>
      </c>
      <c r="AP31" s="1131" t="str">
        <f>IF(ISNUMBER(Datos!CI31/Datos!CJ31),Datos!CI31/Datos!CJ31," - ")</f>
        <v xml:space="preserve"> - </v>
      </c>
      <c r="AQ31" s="1131">
        <f>IF(OR(ISNUMBER(FIND("01",Criterios!A8,1)),ISNUMBER(FIND("02",Criterios!A8,1)),ISNUMBER(FIND("03",Criterios!A8,1)),ISNUMBER(FIND("04",Criterios!A8,1))),(J31-Y31+K31)/(F31-K31),(I31-Y31+K31)/(F31-K31))</f>
        <v>-1.3568803593303389</v>
      </c>
      <c r="AR31" s="1131">
        <f>IF(ISNUMBER((Datos!P31-Datos!Q31+O31)/(Datos!R31-Datos!P31+Datos!Q31-O31)),(Datos!P31-Datos!Q31+O31)/(Datos!R31-Datos!P31+Datos!Q31-O31)," - ")</f>
        <v>2.0283975659229209E-2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722.85714285714289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1135.5246658116532</v>
      </c>
      <c r="G33" s="674">
        <f>IF(ISNUMBER(STDEV(G8:G30)),STDEV(G8:G30),"-")</f>
        <v>1010.1485746449098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272.02892003118592</v>
      </c>
      <c r="AK33" s="276"/>
      <c r="AL33" s="276">
        <f>IF(ISNUMBER(STDEV(AL8:AL30)),STDEV(AL8:AL30),"-")</f>
        <v>0</v>
      </c>
      <c r="AM33" s="278">
        <f>IF(ISNUMBER(STDEV(AM8:AM30)),STDEV(AM8:AM30),"-")</f>
        <v>0</v>
      </c>
      <c r="AN33" s="660">
        <f>IF(ISNUMBER(STDEV(AN8:AN30)),STDEV(AN8:AN30),"-")</f>
        <v>0</v>
      </c>
      <c r="AO33" s="661">
        <f>IF(ISNUMBER(STDEV(AO8:AO30)),STDEV(AO8:AO30),"-")</f>
        <v>4.224812439684869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EONKGkVbiqhWJnp1/AXS1sXdgm+RXFoz+XjdnTPd28jmaY5OzmfC6PUvpUWTGaPnqQdYjJhv1++JIbCwWFajWQ==" saltValue="AwALSHLZBuN8MxthP0Z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NqXZlWWnlfFvbx7ARhAuzi/Bb6z8kMNyaK/3sdOwwc6X3jErOrNEffHl20rROvgDEK/22bUrsq8dFoth7A8W7w==" saltValue="ZleXOZd99Ryc673pzViN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HvAoCGgr66tfH4jvmLRo4NUCO9s75RUkCUkoGtCtKH1mLWkXRSoNowf1WrzGQxvEEvxhxjEZrlJL2zXAz/yrQ==" saltValue="3EaHXeWozo8LypI0k3L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GUADALAJARA  Resumenes por Partidos Judiciales  GUADALAJARA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2 al 2</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0.22336874051593322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0.1579455511239147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EpgujMr3XjdmegoK7MmXtqMtM09O5b2zuO34yYH82wINrVWPuZMW34scfw85LML5xGz/2RsTfmYuaYH4cs707g==" saltValue="yz7O/4hOgD7JaNHKxIsOa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2G1CQWsusUejR++RHC1PR4uC2V7Gzmd6u3HMuZ5jLaxzzJv9uyJWiHyZqzzCybnKFNE+lD76WUtFoUg6dbpCNw==" saltValue="DwS58dv7GcZ6Qp4EQGHA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GUADALAJARA</v>
      </c>
      <c r="D3" s="436"/>
      <c r="E3" s="436"/>
      <c r="F3" s="436"/>
    </row>
    <row r="4" spans="1:14" ht="13.5" thickBot="1">
      <c r="A4" s="436"/>
      <c r="B4" s="439" t="str">
        <f>Criterios!A11 &amp;"  "&amp;Criterios!B11</f>
        <v>Resumenes por Partidos Judiciales  GUADALAJARA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7007</v>
      </c>
      <c r="D9" s="452">
        <f>IF(ISNUMBER(C9/Datos!BH9),C9/Datos!BH9," - ")</f>
        <v>1167.8333333333333</v>
      </c>
      <c r="E9" s="451">
        <f>IF(ISNUMBER(IF(J_V="SI",Datos!J9,Datos!J9+Datos!Z9)),IF(J_V="SI",Datos!J9,Datos!J9+Datos!Z9)," - ")</f>
        <v>2808</v>
      </c>
      <c r="F9" s="452">
        <f>IF(ISNUMBER(E9/B9),E9/B9," - ")</f>
        <v>401.14285714285717</v>
      </c>
      <c r="G9" s="451">
        <f>IF(ISNUMBER(IF(J_V="SI",Datos!K9,Datos!K9+Datos!AA9)),IF(J_V="SI",Datos!K9,Datos!K9+Datos!AA9)," - ")</f>
        <v>2790</v>
      </c>
      <c r="H9" s="452">
        <f>IF(ISNUMBER(G9/B9),G9/B9," - ")</f>
        <v>398.57142857142856</v>
      </c>
      <c r="I9" s="451">
        <f>IF(ISNUMBER(IF(J_V="SI",Datos!L9,Datos!L9+Datos!AB9)),IF(J_V="SI",Datos!L9,Datos!L9+Datos!AB9)," - ")</f>
        <v>6902</v>
      </c>
      <c r="J9" s="452">
        <f>IF(ISNUMBER(I9/B9),I9/B9," - ")</f>
        <v>986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170</v>
      </c>
      <c r="D10" s="452">
        <f>IF(ISNUMBER(C10/Datos!BH10),C10/Datos!BH10," - ")</f>
        <v>170</v>
      </c>
      <c r="E10" s="451">
        <f>IF(ISNUMBER(Datos!J10),Datos!J10," - ")</f>
        <v>10</v>
      </c>
      <c r="F10" s="452">
        <f>IF(ISNUMBER(E10/B10),E10/B10," - ")</f>
        <v>10</v>
      </c>
      <c r="G10" s="451">
        <f>IF(ISNUMBER(Datos!K10),Datos!K10," - ")</f>
        <v>35</v>
      </c>
      <c r="H10" s="452">
        <f>IF(ISNUMBER(G10/B10),G10/B10," - ")</f>
        <v>35</v>
      </c>
      <c r="I10" s="451">
        <f>IF(ISNUMBER(Datos!L10),Datos!L10," - ")</f>
        <v>145</v>
      </c>
      <c r="J10" s="452">
        <f>IF(ISNUMBER(I10/B10),I10/B10," - ")</f>
        <v>145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1516</v>
      </c>
      <c r="D11" s="452">
        <f>IF(ISNUMBER(C11/Datos!BH11),C11/Datos!BH11," - ")</f>
        <v>1516</v>
      </c>
      <c r="E11" s="451">
        <f>IF(ISNUMBER(IF(J_V="SI",Datos!J11,Datos!J11+Datos!Z11)),IF(J_V="SI",Datos!J11,Datos!J11+Datos!Z11)," - ")</f>
        <v>550</v>
      </c>
      <c r="F11" s="452">
        <f>IF(ISNUMBER(E11/B11),E11/B11," - ")</f>
        <v>550</v>
      </c>
      <c r="G11" s="451">
        <f>IF(ISNUMBER(IF(J_V="SI",Datos!K11,Datos!K11+Datos!AA11)),IF(J_V="SI",Datos!K11,Datos!K11+Datos!AA11)," - ")</f>
        <v>470</v>
      </c>
      <c r="H11" s="452">
        <f>IF(ISNUMBER(G11/B11),G11/B11," - ")</f>
        <v>470</v>
      </c>
      <c r="I11" s="451">
        <f>IF(ISNUMBER(IF(J_V="SI",Datos!L11,Datos!L11+Datos!AB11)),IF(J_V="SI",Datos!L11,Datos!L11+Datos!AB11)," - ")</f>
        <v>1596</v>
      </c>
      <c r="J11" s="452">
        <f>IF(ISNUMBER(I11/B11),I11/B11," - ")</f>
        <v>1596</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0</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8693</v>
      </c>
      <c r="D14" s="1147" t="str">
        <f>IF(ISNUMBER(C14/Datos!BI14),C14/Datos!BI14," - ")</f>
        <v xml:space="preserve"> - </v>
      </c>
      <c r="E14" s="1146">
        <f>SUBTOTAL(9,E8:E13)</f>
        <v>3368</v>
      </c>
      <c r="F14" s="1147">
        <f>IF(ISNUMBER(E14/B14),E14/B14," - ")</f>
        <v>421</v>
      </c>
      <c r="G14" s="1146">
        <f>SUBTOTAL(9,G8:G13)</f>
        <v>3295</v>
      </c>
      <c r="H14" s="1147">
        <f>IF(ISNUMBER(G14/B14),G14/B14," - ")</f>
        <v>411.875</v>
      </c>
      <c r="I14" s="1146">
        <f>SUBTOTAL(9,I8:I13)</f>
        <v>8643</v>
      </c>
      <c r="J14" s="1147">
        <f>IF(ISNUMBER(I14/B14),I14/B14," - ")</f>
        <v>1080.375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2007</v>
      </c>
      <c r="D16" s="452">
        <f>IF(ISNUMBER(C16/Datos!BH16),C16/Datos!BH16," - ")</f>
        <v>501.75</v>
      </c>
      <c r="E16" s="451">
        <f>IF(ISNUMBER(IF(D_I="SI",Datos!J16,Datos!J16+Datos!AD16)),IF(D_I="SI",Datos!J16,Datos!J16+Datos!AD16)," - ")</f>
        <v>2734</v>
      </c>
      <c r="F16" s="452">
        <f>IF(ISNUMBER(E16/B16),E16/B16," - ")</f>
        <v>683.5</v>
      </c>
      <c r="G16" s="451">
        <f>IF(ISNUMBER(IF(D_I="SI",Datos!K16,Datos!K16+Datos!AE16)),IF(D_I="SI",Datos!K16,Datos!K16+Datos!AE16)," - ")</f>
        <v>2870</v>
      </c>
      <c r="H16" s="452">
        <f>IF(ISNUMBER(G16/B16),G16/B16," - ")</f>
        <v>717.5</v>
      </c>
      <c r="I16" s="451">
        <f>IF(ISNUMBER(IF(D_I="SI",Datos!L16,Datos!L16+Datos!AF16)),IF(D_I="SI",Datos!L16,Datos!L16+Datos!AF16)," - ")</f>
        <v>2143</v>
      </c>
      <c r="J16" s="452">
        <f>IF(ISNUMBER(I16/B16),I16/B16," - ")</f>
        <v>535.75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353</v>
      </c>
      <c r="D18" s="452">
        <f>IF(ISNUMBER(C18/Datos!BH18),C18/Datos!BH18," - ")</f>
        <v>353</v>
      </c>
      <c r="E18" s="451">
        <f>IF(ISNUMBER(IF(D_I="SI",Datos!J18,Datos!J18+Datos!AD18)),IF(D_I="SI",Datos!J18,Datos!J18+Datos!AD18)," - ")</f>
        <v>355</v>
      </c>
      <c r="F18" s="452">
        <f>IF(ISNUMBER(E18/B18),E18/B18," - ")</f>
        <v>355</v>
      </c>
      <c r="G18" s="451">
        <f>IF(ISNUMBER(IF(D_I="SI",Datos!K18,Datos!K18+Datos!AE18)),IF(D_I="SI",Datos!K18,Datos!K18+Datos!AE18)," - ")</f>
        <v>418</v>
      </c>
      <c r="H18" s="452">
        <f>IF(ISNUMBER(G18/B18),G18/B18," - ")</f>
        <v>418</v>
      </c>
      <c r="I18" s="451">
        <f>IF(ISNUMBER(IF(D_I="SI",Datos!L18,Datos!L18+Datos!AF18)),IF(D_I="SI",Datos!L18,Datos!L18+Datos!AF18)," - ")</f>
        <v>293</v>
      </c>
      <c r="J18" s="452">
        <f>IF(ISNUMBER(I18/B18),I18/B18," - ")</f>
        <v>293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2360</v>
      </c>
      <c r="D23" s="1147" t="str">
        <f>IF(ISNUMBER(C23/Datos!BI23),C23/Datos!BI23," - ")</f>
        <v xml:space="preserve"> - </v>
      </c>
      <c r="E23" s="1146">
        <f>SUBTOTAL(9,E15:E22)</f>
        <v>3089</v>
      </c>
      <c r="F23" s="1147">
        <f>IF(ISNUMBER(E23/B23),E23/B23," - ")</f>
        <v>772.25</v>
      </c>
      <c r="G23" s="1146">
        <f>SUBTOTAL(9,G15:G22)</f>
        <v>3288</v>
      </c>
      <c r="H23" s="1147">
        <f>IF(ISNUMBER(G23/B23),G23/B23," - ")</f>
        <v>822</v>
      </c>
      <c r="I23" s="1146">
        <f>SUBTOTAL(9,I15:I22)</f>
        <v>2436</v>
      </c>
      <c r="J23" s="1147">
        <f>IF(ISNUMBER(I23/B23),I23/B23," - ")</f>
        <v>609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12</v>
      </c>
      <c r="C31" s="1084">
        <f>SUBTOTAL(9,C9:C30)</f>
        <v>11053</v>
      </c>
      <c r="D31" s="1085" t="str">
        <f>IF(ISNUMBER(C31/Datos!BI31),C31/Datos!BI31," - ")</f>
        <v xml:space="preserve"> - </v>
      </c>
      <c r="E31" s="1084">
        <f>SUBTOTAL(9,E9:E30)</f>
        <v>6457</v>
      </c>
      <c r="F31" s="1085">
        <f>IF(ISNUMBER(E31/B31),E31/B31," - ")</f>
        <v>538.08333333333337</v>
      </c>
      <c r="G31" s="1084">
        <f>SUBTOTAL(9,G9:G30)</f>
        <v>6583</v>
      </c>
      <c r="H31" s="1085">
        <f>IF(ISNUMBER(G31/B31),G31/B31," - ")</f>
        <v>548.58333333333337</v>
      </c>
      <c r="I31" s="1084">
        <f>SUBTOTAL(9,I9:I30)</f>
        <v>11079</v>
      </c>
      <c r="J31" s="1085">
        <f>IF(ISNUMBER(I31/B31),I31/B31," - ")</f>
        <v>923.25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io0NJb6HWV3bPJRj8YoQrbIJ3kgKcvmz48hwBOxKQN3kznSTTmpTPeltRdgFdwIyaVXKEFQN9Ekygn+vCTdhw==" saltValue="v2JUAlr8deUDJ42qOsvJ5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GUADALAJARA  Resumenes por Partidos Judiciales  GUADALAJARA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2 al 2</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317</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0</v>
      </c>
      <c r="F10" s="905">
        <f>IF(ISNUMBER(Datos!L10+Datos!K10-Datos!J10),Datos!L10+Datos!K10-Datos!J10," - ")</f>
        <v>170</v>
      </c>
      <c r="G10" s="906">
        <f>IF(ISNUMBER(Datos!I10),Datos!I10," - ")</f>
        <v>170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35</v>
      </c>
      <c r="AC10" s="905" t="str">
        <f>IF(ISNUMBER(IF(D_I="SI",DatosP!K18,DatosP!K18+DatosP!AE18)),IF(D_I="SI",DatosP!K18,DatosP!K18+DatosP!AE18)," - ")</f>
        <v xml:space="preserve"> - </v>
      </c>
      <c r="AD10" s="907"/>
      <c r="AE10" s="907"/>
      <c r="AF10" s="910">
        <f>IF(ISNUMBER(Datos!L10),Datos!L10,"-")</f>
        <v>145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19</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12.428571428571431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3.5714285714285712E-2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170</v>
      </c>
      <c r="G14" s="1256">
        <f t="shared" si="0"/>
        <v>170</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35</v>
      </c>
      <c r="AC14" s="1257">
        <f t="shared" si="1"/>
        <v>0</v>
      </c>
      <c r="AD14" s="1257">
        <f t="shared" si="1"/>
        <v>0</v>
      </c>
      <c r="AE14" s="1257">
        <f t="shared" si="1"/>
        <v>0</v>
      </c>
      <c r="AF14" s="1257">
        <f t="shared" si="1"/>
        <v>145</v>
      </c>
      <c r="AG14" s="1257">
        <f t="shared" si="1"/>
        <v>0</v>
      </c>
      <c r="AH14" s="1257">
        <f t="shared" si="1"/>
        <v>29</v>
      </c>
      <c r="AI14" s="1257">
        <f t="shared" si="1"/>
        <v>0</v>
      </c>
      <c r="AJ14" s="1257">
        <f t="shared" si="1"/>
        <v>0</v>
      </c>
      <c r="AK14" s="1257">
        <f t="shared" si="1"/>
        <v>0</v>
      </c>
      <c r="AL14" s="1257">
        <f t="shared" si="1"/>
        <v>19</v>
      </c>
      <c r="AM14" s="1257">
        <f t="shared" si="1"/>
        <v>5</v>
      </c>
      <c r="AN14" s="1257">
        <f t="shared" si="1"/>
        <v>0</v>
      </c>
      <c r="AO14" s="1257">
        <f t="shared" si="1"/>
        <v>0</v>
      </c>
      <c r="AP14" s="1262">
        <f>IF(ISNUMBER(((Datos!L14/Datos!K14)*11)/factor_trimestre),((Datos!L14/Datos!K14)*11)/factor_trimestre," - ")</f>
        <v>8.0369764397905765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-0.20588235294117646</v>
      </c>
      <c r="AU14" s="1257" t="str">
        <f>IF(ISNUMBER((DatosP!#REF!-DatosP!#REF!+DatosP!#REF!)/(DatosP!#REF!+DatosP!#REF!-DatosP!#REF!-DatosP!#REF!)),(DatosP!#REF!-DatosP!#REF!+DatosP!#REF!)/(DatosP!#REF!+DatosP!#REF!-DatosP!#REF!-DatosP!#REF!)," - ")</f>
        <v xml:space="preserve"> - </v>
      </c>
      <c r="AV14" s="1263">
        <f>SUBTOTAL(9,AV9:AV13)</f>
        <v>3.5714285714285712E-2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2.2226277372262775</v>
      </c>
      <c r="AQ23" s="1262">
        <f>IF(ISNUMBER(((Datos!M23/Datos!L23)*11)/factor_trimestre),((Datos!M23/Datos!L23)*11)/factor_trimestre," - ")</f>
        <v>0.4679802955665025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0.15186915887850466</v>
      </c>
      <c r="AW23" s="1265">
        <f>IF(ISNUMBER((Datos!Q23-Datos!R23)/(Datos!S23-Datos!Q23+Datos!R23)),(Datos!Q23-Datos!R23)/(Datos!S23-Datos!Q23+Datos!R23)," - ")</f>
        <v>-0.13070725156669652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170</v>
      </c>
      <c r="G31" s="1278">
        <f t="shared" si="8"/>
        <v>170</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35</v>
      </c>
      <c r="AC31" s="1284">
        <f t="shared" si="9"/>
        <v>0</v>
      </c>
      <c r="AD31" s="1284">
        <f t="shared" si="9"/>
        <v>0</v>
      </c>
      <c r="AE31" s="1284">
        <f t="shared" si="9"/>
        <v>0</v>
      </c>
      <c r="AF31" s="1285">
        <f t="shared" si="9"/>
        <v>145</v>
      </c>
      <c r="AG31" s="1285">
        <f t="shared" si="9"/>
        <v>0</v>
      </c>
      <c r="AH31" s="1285">
        <f t="shared" si="9"/>
        <v>29</v>
      </c>
      <c r="AI31" s="1285">
        <f t="shared" si="9"/>
        <v>0</v>
      </c>
      <c r="AJ31" s="1286">
        <f t="shared" si="9"/>
        <v>0</v>
      </c>
      <c r="AK31" s="1286">
        <f t="shared" si="9"/>
        <v>0</v>
      </c>
      <c r="AL31" s="1278">
        <f t="shared" si="9"/>
        <v>19</v>
      </c>
      <c r="AM31" s="1278">
        <f t="shared" si="9"/>
        <v>5</v>
      </c>
      <c r="AN31" s="1278">
        <f t="shared" si="9"/>
        <v>0</v>
      </c>
      <c r="AO31" s="1278">
        <f t="shared" si="9"/>
        <v>0</v>
      </c>
      <c r="AP31" s="1278">
        <f>IF(ISNUMBER(((Datos!L31/Datos!K31)*11)/factor_trimestre),((Datos!L31/Datos!K31)*11)/factor_trimestre," - ")</f>
        <v>5.0234867591424965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-0.20588235294117646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2.0283975659229209E-2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3.2702361450580972</v>
      </c>
      <c r="F33" s="1006">
        <f>IF(ISNUMBER(STDEV(F8:F30)),STDEV(F8:F30),"-")</f>
        <v>93.112834775878241</v>
      </c>
      <c r="G33" s="1007">
        <f>IF(ISNUMBER(STDEV(G8:G30)),STDEV(G8:G30),"-")</f>
        <v>93.112834775878241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19.170289512680814</v>
      </c>
      <c r="AC33" s="1008">
        <f>IF(ISNUMBER(STDEV(AC8:AC30)),STDEV(AC8:AC30),"-")</f>
        <v>0</v>
      </c>
      <c r="AD33" s="1011"/>
      <c r="AE33" s="1011"/>
      <c r="AF33" s="1011"/>
      <c r="AG33" s="1011"/>
      <c r="AH33" s="1011"/>
      <c r="AI33" s="1011"/>
      <c r="AJ33" s="1012">
        <f>IF(ISNUMBER(STDEV(AJ8:AJ30)),STDEV(AJ8:AJ30),"-")</f>
        <v>0</v>
      </c>
      <c r="AK33" s="1014"/>
      <c r="AL33" s="1006">
        <f>IF(ISNUMBER(STDEV(AL8:AL30)),STDEV(AL8:AL30),"-")</f>
        <v>9.8115578103921237</v>
      </c>
      <c r="AM33" s="1006"/>
      <c r="AN33" s="1006">
        <f>IF(ISNUMBER(STDEV(AN8:AN30)),STDEV(AN8:AN30),"-")</f>
        <v>0</v>
      </c>
      <c r="AO33" s="1012">
        <f>IF(ISNUMBER(STDEV(AO8:AO30)),STDEV(AO8:AO30),"-")</f>
        <v>0</v>
      </c>
      <c r="AP33" s="1065">
        <f>IF(ISNUMBER(STDEV(AP8:AP30)),STDEV(AP8:AP30),"-")</f>
        <v>5.1194733454950256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9/Nbl8yzh914Hh3DxCiLno7DWcIHUJTASmYkVj8PmH/+0cXECVdl2UydZ7tM8BhF2MKnCU38zpH0cKztzxsfQ==" saltValue="mY8miGHHrkxIaKwpZWRT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276</v>
      </c>
      <c r="B3" s="439" t="str">
        <f>Criterios!A10 &amp;"  "&amp;Criterios!B10</f>
        <v>Provincias  GUADALAJARA</v>
      </c>
      <c r="C3" s="463"/>
      <c r="F3" s="436"/>
      <c r="G3" s="436"/>
      <c r="H3" s="436"/>
    </row>
    <row r="4" spans="1:15" ht="13.5" thickBot="1">
      <c r="A4" s="436"/>
      <c r="B4" s="439" t="str">
        <f>Criterios!A11 &amp;"  "&amp;Criterios!B11</f>
        <v>Resumenes por Partidos Judiciales  GUADALAJARA</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1.1666666666666667</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mgH500LbhvEH4iwJw6tKm0FPsh0wptqObCHIH6/ItMSRokSu/80tRnfuL+jMhZ6xOn6bwgYSteLYYW+OFvLNiA==" saltValue="tAFNgHvIw22TxXt7CzixI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GUADALAJARA</v>
      </c>
      <c r="C3" s="475"/>
      <c r="D3" s="476"/>
    </row>
    <row r="4" spans="1:9" ht="13.5" thickBot="1">
      <c r="B4" s="477" t="str">
        <f>Criterios!A11 &amp;"  "&amp;Criterios!B11</f>
        <v>Resumenes por Partidos Judiciales  GUADALAJARA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569</v>
      </c>
      <c r="E9" s="452">
        <f t="shared" ref="E9:E14" si="0">IF(ISNUMBER(D9/B9),D9/B9," - ")</f>
        <v>81.285714285714292</v>
      </c>
      <c r="F9" s="451">
        <f>IF(ISNUMBER(Datos!N9),Datos!N9," - ")</f>
        <v>1200</v>
      </c>
      <c r="G9" s="452">
        <f t="shared" ref="G9:G14" si="1">IF(ISNUMBER(F9/B9),F9/B9," - ")</f>
        <v>171.42857142857142</v>
      </c>
      <c r="H9" s="451">
        <f>IF(ISNUMBER(Datos!O9),Datos!O9," - ")</f>
        <v>1359</v>
      </c>
      <c r="I9" s="452">
        <f>IF(ISNUMBER(H9/B9),H9/B9," - ")</f>
        <v>194.14285714285714</v>
      </c>
    </row>
    <row r="10" spans="1:9">
      <c r="A10" s="450" t="str">
        <f>Datos!A10</f>
        <v>Jdos. Violencia contra la mujer</v>
      </c>
      <c r="B10" s="480">
        <f>Datos!AO10</f>
        <v>1</v>
      </c>
      <c r="C10" s="458">
        <f>Datos!AQ10</f>
        <v>0</v>
      </c>
      <c r="D10" s="451">
        <f>IF(ISNUMBER(Datos!M10),Datos!M10," - ")</f>
        <v>19</v>
      </c>
      <c r="E10" s="452">
        <f>IF(ISNUMBER(D10/B10),D10/B10," - ")</f>
        <v>19</v>
      </c>
      <c r="F10" s="451">
        <f>IF(ISNUMBER(Datos!N10),Datos!N10," - ")</f>
        <v>5</v>
      </c>
      <c r="G10" s="452">
        <f>IF(ISNUMBER(F10/B10),F10/B10," - ")</f>
        <v>5</v>
      </c>
      <c r="H10" s="451">
        <f>IF(ISNUMBER(Datos!O10),Datos!O10," - ")</f>
        <v>12</v>
      </c>
      <c r="I10" s="452">
        <f t="shared" ref="I10:I13" si="2">IF(ISNUMBER(H10/B10),H10/B10," - ")</f>
        <v>12</v>
      </c>
    </row>
    <row r="11" spans="1:9">
      <c r="A11" s="450" t="str">
        <f>Datos!A11</f>
        <v xml:space="preserve">Jdos. Familia                                   </v>
      </c>
      <c r="B11" s="480">
        <f>Datos!AO11</f>
        <v>1</v>
      </c>
      <c r="C11" s="458">
        <f>Datos!AQ11</f>
        <v>1</v>
      </c>
      <c r="D11" s="451">
        <f>IF(ISNUMBER(Datos!M11),Datos!M11," - ")</f>
        <v>148</v>
      </c>
      <c r="E11" s="452">
        <f t="shared" si="0"/>
        <v>148</v>
      </c>
      <c r="F11" s="451">
        <f>IF(ISNUMBER(Datos!N11),Datos!N11," - ")</f>
        <v>210</v>
      </c>
      <c r="G11" s="452">
        <f t="shared" si="1"/>
        <v>210</v>
      </c>
      <c r="H11" s="451">
        <f>IF(ISNUMBER(Datos!O11),Datos!O11," - ")</f>
        <v>152</v>
      </c>
      <c r="I11" s="452">
        <f t="shared" si="2"/>
        <v>152</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736</v>
      </c>
      <c r="E14" s="1147">
        <f t="shared" si="0"/>
        <v>81.777777777777771</v>
      </c>
      <c r="F14" s="1146">
        <f>SUBTOTAL(9,F9:F13)</f>
        <v>1415</v>
      </c>
      <c r="G14" s="1147">
        <f t="shared" si="1"/>
        <v>157.22222222222223</v>
      </c>
      <c r="H14" s="1146">
        <f>SUBTOTAL(9,H9:H13)</f>
        <v>1523</v>
      </c>
      <c r="I14" s="1147">
        <f>IF(ISNUMBER(H14/B14),H14/B14," - ")</f>
        <v>169.22222222222223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363</v>
      </c>
      <c r="E16" s="452">
        <f t="shared" ref="E16:E23" si="3">IF(ISNUMBER(D16/B16),D16/B16," - ")</f>
        <v>90.75</v>
      </c>
      <c r="F16" s="451">
        <f>IF(ISNUMBER(Datos!N16),Datos!N16," - ")</f>
        <v>1856</v>
      </c>
      <c r="G16" s="452">
        <f t="shared" ref="G16:G23" si="4">IF(ISNUMBER(F16/B16),F16/B16," - ")</f>
        <v>464</v>
      </c>
      <c r="H16" s="451">
        <f>IF(ISNUMBER(Datos!O16),Datos!O16," - ")</f>
        <v>55</v>
      </c>
      <c r="I16" s="452">
        <f t="shared" ref="I16:I22" si="5">IF(ISNUMBER(H16/B16),H16/B16," - ")</f>
        <v>13.75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17</v>
      </c>
      <c r="E18" s="452">
        <f>IF(ISNUMBER(D18/B18),D18/B18," - ")</f>
        <v>17</v>
      </c>
      <c r="F18" s="451">
        <f>IF(ISNUMBER(Datos!N18),Datos!N18," - ")</f>
        <v>269</v>
      </c>
      <c r="G18" s="452">
        <f>IF(ISNUMBER(F18/B18),F18/B18," - ")</f>
        <v>269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380</v>
      </c>
      <c r="E23" s="1147">
        <f t="shared" si="3"/>
        <v>76</v>
      </c>
      <c r="F23" s="1146">
        <f>SUBTOTAL(9,F16:F22)</f>
        <v>2125</v>
      </c>
      <c r="G23" s="1147">
        <f t="shared" si="4"/>
        <v>425</v>
      </c>
      <c r="H23" s="1146">
        <f>SUBTOTAL(9,H16:H22)</f>
        <v>55</v>
      </c>
      <c r="I23" s="1147">
        <f>IF(ISNUMBER(H23/B23),H23/B23," - ")</f>
        <v>11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12</v>
      </c>
      <c r="C31" s="1084">
        <f>Datos!AR31</f>
        <v>12</v>
      </c>
      <c r="D31" s="1084">
        <f>SUBTOTAL(9,D8:D30)</f>
        <v>1116</v>
      </c>
      <c r="E31" s="1085">
        <f>IF(ISNUMBER(D31/B31),D31/B31," - ")</f>
        <v>93</v>
      </c>
      <c r="F31" s="1084">
        <f>SUBTOTAL(9,F8:F30)</f>
        <v>3540</v>
      </c>
      <c r="G31" s="1085">
        <f>IF(ISNUMBER(F31/B31),F31/B31," - ")</f>
        <v>295</v>
      </c>
      <c r="H31" s="1084">
        <f>SUBTOTAL(9,H8:H30)</f>
        <v>1578</v>
      </c>
      <c r="I31" s="1085">
        <f>IF(ISNUMBER(H31/B31),H31/B31," - ")</f>
        <v>131.5</v>
      </c>
    </row>
    <row r="34" spans="1:1">
      <c r="A34" s="439" t="str">
        <f>Criterios!A4</f>
        <v>Fecha Informe: 05 may. 2023</v>
      </c>
    </row>
    <row r="39" spans="1:1">
      <c r="A39" s="462"/>
    </row>
  </sheetData>
  <sheetProtection algorithmName="SHA-512" hashValue="MzwYQotCt3GWWlA4d7CHqZm68vY/D0EJdKRs8leNVcpEQStLyIyTys2JS9VOrfWjKJ7OBux2moCfl6j2QL5msA==" saltValue="fJwQrqQMPlWU5YAvn0v2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GUADALAJARA</v>
      </c>
    </row>
    <row r="4" spans="1:4" ht="13.5" thickBot="1">
      <c r="B4" s="439" t="str">
        <f>Criterios!A11 &amp;"  "&amp;Criterios!B11</f>
        <v>Resumenes por Partidos Judiciales  GUADALAJARA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644</v>
      </c>
      <c r="C9" s="489">
        <f>IF(ISNUMBER(Datos!Q9),Datos!Q9," - ")</f>
        <v>366</v>
      </c>
      <c r="D9" s="456">
        <f>IF(ISNUMBER(Datos!R9),Datos!R9," - ")</f>
        <v>11915</v>
      </c>
    </row>
    <row r="10" spans="1:4">
      <c r="A10" s="450" t="str">
        <f>Datos!A10</f>
        <v>Jdos. Violencia contra la mujer</v>
      </c>
      <c r="B10" s="488">
        <f>IF(ISNUMBER(Datos!P10),Datos!P10," - ")</f>
        <v>7</v>
      </c>
      <c r="C10" s="489">
        <f>IF(ISNUMBER(Datos!Q10),Datos!Q10," - ")</f>
        <v>1</v>
      </c>
      <c r="D10" s="456">
        <f>IF(ISNUMBER(Datos!R10),Datos!R10," - ")</f>
        <v>96</v>
      </c>
    </row>
    <row r="11" spans="1:4">
      <c r="A11" s="450" t="str">
        <f>Datos!A11</f>
        <v xml:space="preserve">Jdos. Familia                                   </v>
      </c>
      <c r="B11" s="488">
        <f>IF(ISNUMBER(Datos!P11),Datos!P11," - ")</f>
        <v>59</v>
      </c>
      <c r="C11" s="489">
        <f>IF(ISNUMBER(Datos!Q11),Datos!Q11," - ")</f>
        <v>139</v>
      </c>
      <c r="D11" s="456">
        <f>IF(ISNUMBER(Datos!R11),Datos!R11," - ")</f>
        <v>1048</v>
      </c>
    </row>
    <row r="12" spans="1:4">
      <c r="A12" s="450" t="str">
        <f>Datos!A12</f>
        <v xml:space="preserve">Jdos. 1ª Instª. e Instr.                        </v>
      </c>
      <c r="B12" s="488">
        <f>IF(ISNUMBER(Datos!P12),Datos!P12," - ")</f>
        <v>1</v>
      </c>
      <c r="C12" s="489">
        <f>IF(ISNUMBER(Datos!Q12),Datos!Q12," - ")</f>
        <v>0</v>
      </c>
      <c r="D12" s="456">
        <f>IF(ISNUMBER(Datos!R12),Datos!R12," - ")</f>
        <v>29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711</v>
      </c>
      <c r="C14" s="1150">
        <f>SUBTOTAL(9,C9:C13)</f>
        <v>506</v>
      </c>
      <c r="D14" s="1148">
        <f>SUBTOTAL(9,D9:D13)</f>
        <v>13088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118</v>
      </c>
      <c r="C16" s="489">
        <f>IF(ISNUMBER(Datos!Q16),Datos!Q16," - ")</f>
        <v>55</v>
      </c>
      <c r="D16" s="456">
        <f>IF(ISNUMBER(Datos!R16),Datos!R16," - ")</f>
        <v>484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0</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120</v>
      </c>
      <c r="C23" s="1150">
        <f>SUBTOTAL(9,C16:C22)</f>
        <v>55</v>
      </c>
      <c r="D23" s="1148">
        <f>SUBTOTAL(9,D16:D22)</f>
        <v>493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831</v>
      </c>
      <c r="C31" s="1089">
        <f>SUBTOTAL(9,C8:C30)</f>
        <v>561</v>
      </c>
      <c r="D31" s="1090">
        <f>SUBTOTAL(9,D8:D30)</f>
        <v>13581</v>
      </c>
    </row>
    <row r="32" spans="1:4" ht="7.5" customHeight="1"/>
    <row r="33" spans="1:1" ht="6" customHeight="1"/>
    <row r="34" spans="1:1">
      <c r="A34" s="439" t="str">
        <f>Criterios!A4</f>
        <v>Fecha Informe: 05 may. 2023</v>
      </c>
    </row>
    <row r="39" spans="1:1">
      <c r="A39" s="462"/>
    </row>
  </sheetData>
  <sheetProtection algorithmName="SHA-512" hashValue="seh/8VYNH5XzNnqp+qzn25vSUvegchs6EdDTokGBCky+h6ifb7P+HvoB8UKNEpygiFDYdPeInrl+tse/GGCGVw==" saltValue="tNBVL7eYa+b9C8IyALfa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GUADALAJARA</v>
      </c>
    </row>
    <row r="4" spans="1:11" ht="10.5" customHeight="1" thickBot="1">
      <c r="B4" s="439" t="str">
        <f>Criterios!A11 &amp;"  "&amp;Criterios!B11</f>
        <v>Resumenes por Partidos Judiciales  GUADALAJARA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2.3666910153396638E-2</v>
      </c>
      <c r="C9" s="515">
        <f>IF(ISNUMBER(
   IF(J_V="SI",(Datos!J9-Datos!T9)/Datos!T9,(Datos!J9+Datos!Z9-(Datos!T9+Datos!AH9))/(Datos!T9+Datos!AH9))
     ),IF(J_V="SI",(Datos!J9-Datos!T9)/Datos!T9,(Datos!J9+Datos!Z9-(Datos!T9+Datos!AH9))/(Datos!T9+Datos!AH9))," - ")</f>
        <v>9.6446700507614211E-2</v>
      </c>
      <c r="D9" s="515">
        <f>IF(ISNUMBER(
   IF(J_V="SI",(Datos!K9-Datos!U9)/Datos!U9,(Datos!K9+Datos!AA9-(Datos!U9+Datos!AI9))/(Datos!U9+Datos!AI9))
     ),IF(J_V="SI",(Datos!K9-Datos!U9)/Datos!U9,(Datos!K9+Datos!AA9-(Datos!U9+Datos!AI9))/(Datos!U9+Datos!AI9))," - ")</f>
        <v>6.1305445366029573E-3</v>
      </c>
      <c r="E9" s="515">
        <f>IF(ISNUMBER(
   IF(J_V="SI",(Datos!L9-Datos!V9)/Datos!V9,(Datos!L9+Datos!AB9-(Datos!V9+Datos!AJ9))/(Datos!V9+Datos!AJ9))
     ),IF(J_V="SI",(Datos!L9-Datos!V9)/Datos!V9,(Datos!L9+Datos!AB9-(Datos!V9+Datos!AJ9))/(Datos!V9+Datos!AJ9))," - ")</f>
        <v>4.0554801748831602E-2</v>
      </c>
      <c r="F9" s="515">
        <f>IF(ISNUMBER((Datos!M9-Datos!W9)/Datos!W9),(Datos!M9-Datos!W9)/Datos!W9," - ")</f>
        <v>0.13800000000000001</v>
      </c>
      <c r="G9" s="516">
        <f>IF(ISNUMBER((Datos!N9-Datos!X9)/Datos!X9),(Datos!N9-Datos!X9)/Datos!X9," - ")</f>
        <v>7.8167115902964962E-2</v>
      </c>
      <c r="H9" s="514">
        <f>IF(ISNUMBER(((NºAsuntos!G9/NºAsuntos!E9)-Datos!BD9)/Datos!BD9),((NºAsuntos!G9/NºAsuntos!E9)-Datos!BD9)/Datos!BD9," - ")</f>
        <v>-8.237167928837591E-2</v>
      </c>
      <c r="I9" s="515">
        <f>IF(ISNUMBER(((NºAsuntos!I9/NºAsuntos!G9)-Datos!BE9)/Datos!BE9),((NºAsuntos!I9/NºAsuntos!G9)-Datos!BE9)/Datos!BE9," - ")</f>
        <v>3.421450367365942E-2</v>
      </c>
      <c r="J9" s="521">
        <f>IF(ISNUMBER((('Resol  Asuntos'!D9/NºAsuntos!G9)-Datos!BF9)/Datos!BF9),(('Resol  Asuntos'!D9/NºAsuntos!G9)-Datos!BF9)/Datos!BF9," - ")</f>
        <v>-0.49188411957736372</v>
      </c>
      <c r="K9" s="522">
        <f>IF(ISNUMBER((((NºAsuntos!C9+NºAsuntos!E9)/NºAsuntos!G9)-Datos!BG9)/Datos!BG9),(((NºAsuntos!C9+NºAsuntos!E9)/NºAsuntos!G9)-Datos!BG9)/Datos!BG9," - ")</f>
        <v>3.7124743833913586E-2</v>
      </c>
    </row>
    <row r="10" spans="1:11">
      <c r="A10" s="450" t="str">
        <f>Datos!A10</f>
        <v>Jdos. Violencia contra la mujer</v>
      </c>
      <c r="B10" s="514">
        <f>IF(ISNUMBER((Datos!I10-Datos!S10)/Datos!S10),(Datos!I10-Datos!S10)/Datos!S10," - ")</f>
        <v>0.13333333333333333</v>
      </c>
      <c r="C10" s="515">
        <f>IF(ISNUMBER((Datos!J10-Datos!T10)/Datos!T10),(Datos!J10-Datos!T10)/Datos!T10," - ")</f>
        <v>-0.56521739130434778</v>
      </c>
      <c r="D10" s="515">
        <f>IF(ISNUMBER((Datos!K10-Datos!U10)/Datos!U10),(Datos!K10-Datos!U10)/Datos!U10," - ")</f>
        <v>1.5</v>
      </c>
      <c r="E10" s="515">
        <f>IF(ISNUMBER((Datos!L10-Datos!V10)/Datos!V10),(Datos!L10-Datos!V10)/Datos!V10," - ")</f>
        <v>-8.8050314465408799E-2</v>
      </c>
      <c r="F10" s="515">
        <f>IF(ISNUMBER((Datos!M10-Datos!W10)/Datos!W10),(Datos!M10-Datos!W10)/Datos!W10," - ")</f>
        <v>0.9</v>
      </c>
      <c r="G10" s="516">
        <f>IF(ISNUMBER((Datos!N10-Datos!X10)/Datos!X10),(Datos!N10-Datos!X10)/Datos!X10," - ")</f>
        <v>0.66666666666666663</v>
      </c>
      <c r="H10" s="514">
        <f>IF(ISNUMBER(((NºAsuntos!G10/NºAsuntos!E10)-Datos!BD10)/Datos!BD10),((NºAsuntos!G10/NºAsuntos!E10)-Datos!BD10)/Datos!BD10," - ")</f>
        <v>4.75</v>
      </c>
      <c r="I10" s="515">
        <f>IF(ISNUMBER(((NºAsuntos!I10/NºAsuntos!G10)-Datos!BE10)/Datos!BE10),((NºAsuntos!I10/NºAsuntos!G10)-Datos!BE10)/Datos!BE10," - ")</f>
        <v>-0.63522012578616349</v>
      </c>
      <c r="J10" s="521">
        <f>IF(ISNUMBER((('Resol  Asuntos'!D10/NºAsuntos!G10)-Datos!BF10)/Datos!BF10),(('Resol  Asuntos'!D10/NºAsuntos!G10)-Datos!BF10)/Datos!BF10," - ")</f>
        <v>-0.24000000000000007</v>
      </c>
      <c r="K10" s="522">
        <f>IF(ISNUMBER((((NºAsuntos!C10+NºAsuntos!E10)/NºAsuntos!G10)-Datos!BG10)/Datos!BG10),(((NºAsuntos!C10+NºAsuntos!E10)/NºAsuntos!G10)-Datos!BG10)/Datos!BG10," - ")</f>
        <v>-0.58381502890173409</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0.12965722801788376</v>
      </c>
      <c r="C11" s="515">
        <f>IF(ISNUMBER(
   IF(J_V="SI",(Datos!J11-Datos!T11)/Datos!T11,(Datos!J11+Datos!Z11-(Datos!T11+Datos!AH11))/(Datos!T11+Datos!AH11))
     ),IF(J_V="SI",(Datos!J11-Datos!T11)/Datos!T11,(Datos!J11+Datos!Z11-(Datos!T11+Datos!AH11))/(Datos!T11+Datos!AH11))," - ")</f>
        <v>5.9730250481695571E-2</v>
      </c>
      <c r="D11" s="515">
        <f>IF(ISNUMBER(
   IF(J_V="SI",(Datos!K11-Datos!U11)/Datos!U11,(Datos!K11+Datos!AA11-(Datos!U11+Datos!AI11))/(Datos!U11+Datos!AI11))
     ),IF(J_V="SI",(Datos!K11-Datos!U11)/Datos!U11,(Datos!K11+Datos!AA11-(Datos!U11+Datos!AI11))/(Datos!U11+Datos!AI11))," - ")</f>
        <v>2.3965141612200435E-2</v>
      </c>
      <c r="E11" s="515">
        <f>IF(ISNUMBER(
   IF(J_V="SI",(Datos!L11-Datos!V11)/Datos!V11,(Datos!L11+Datos!AB11-(Datos!V11+Datos!AJ11))/(Datos!V11+Datos!AJ11))
     ),IF(J_V="SI",(Datos!L11-Datos!V11)/Datos!V11,(Datos!L11+Datos!AB11-(Datos!V11+Datos!AJ11))/(Datos!V11+Datos!AJ11))," - ")</f>
        <v>0.13837375178316691</v>
      </c>
      <c r="F11" s="515">
        <f>IF(ISNUMBER((Datos!M11-Datos!W11)/Datos!W11),(Datos!M11-Datos!W11)/Datos!W11," - ")</f>
        <v>-0.32110091743119268</v>
      </c>
      <c r="G11" s="516">
        <f>IF(ISNUMBER((Datos!N11-Datos!X11)/Datos!X11),(Datos!N11-Datos!X11)/Datos!X11," - ")</f>
        <v>0.37254901960784315</v>
      </c>
      <c r="H11" s="514">
        <f>IF(ISNUMBER(((NºAsuntos!G11/NºAsuntos!E11)-Datos!BD11)/Datos!BD11),((NºAsuntos!G11/NºAsuntos!E11)-Datos!BD11)/Datos!BD11," - ")</f>
        <v>-3.3749257278669037E-2</v>
      </c>
      <c r="I11" s="515">
        <f>IF(ISNUMBER(((NºAsuntos!I11/NºAsuntos!G11)-Datos!BE11)/Datos!BE11),((NºAsuntos!I11/NºAsuntos!G11)-Datos!BE11)/Datos!BE11," - ")</f>
        <v>0.11173096184781614</v>
      </c>
      <c r="J11" s="521">
        <f>IF(ISNUMBER((('Resol  Asuntos'!D11/NºAsuntos!G11)-Datos!BF11)/Datos!BF11),(('Resol  Asuntos'!D11/NºAsuntos!G11)-Datos!BF11)/Datos!BF11," - ")</f>
        <v>-5.5319148936170126E-2</v>
      </c>
      <c r="K11" s="522">
        <f>IF(ISNUMBER((((NºAsuntos!C11+NºAsuntos!E11)/NºAsuntos!G11)-Datos!BG11)/Datos!BG11),(((NºAsuntos!C11+NºAsuntos!E11)/NºAsuntos!G11)-Datos!BG11)/Datos!BG11," - ")</f>
        <v>8.4173459704802903E-2</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f>IF(ISNUMBER(
   IF(J_V="SI",(Datos!J12-Datos!T12)/Datos!T12,(Datos!J12+Datos!Z12-(Datos!T12+Datos!AH12))/(Datos!T12+Datos!AH12))
     ),IF(J_V="SI",(Datos!J12-Datos!T12)/Datos!T12,(Datos!J12+Datos!Z12-(Datos!T12+Datos!AH12))/(Datos!T12+Datos!AH12))," - ")</f>
        <v>-1</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-1</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4.0703938704657008E-2</v>
      </c>
      <c r="C14" s="1152">
        <f>IF(ISNUMBER(
   IF(J_V="SI",(Datos!J14-Datos!T14)/Datos!T14,(Datos!J14+Datos!Z14-(Datos!T14+Datos!AH14))/(Datos!T14+Datos!AH14))
     ),IF(J_V="SI",(Datos!J14-Datos!T14)/Datos!T14,(Datos!J14+Datos!Z14-(Datos!T14+Datos!AH14))/(Datos!T14+Datos!AH14))," - ")</f>
        <v>8.505154639175258E-2</v>
      </c>
      <c r="D14" s="1152">
        <f>IF(ISNUMBER(
   IF(J_V="SI",(Datos!K14-Datos!U14)/Datos!U14,(Datos!K14+Datos!AA14-(Datos!U14+Datos!AI14))/(Datos!U14+Datos!AI14))
     ),IF(J_V="SI",(Datos!K14-Datos!U14)/Datos!U14,(Datos!K14+Datos!AA14-(Datos!U14+Datos!AI14))/(Datos!U14+Datos!AI14))," - ")</f>
        <v>1.5095502156500308E-2</v>
      </c>
      <c r="E14" s="1152">
        <f>IF(ISNUMBER(
   IF(J_V="SI",(Datos!L14-Datos!V14)/Datos!V14,(Datos!L14+Datos!AB14-(Datos!V14+Datos!AJ14))/(Datos!V14+Datos!AJ14))
     ),IF(J_V="SI",(Datos!L14-Datos!V14)/Datos!V14,(Datos!L14+Datos!AB14-(Datos!V14+Datos!AJ14))/(Datos!V14+Datos!AJ14))," - ")</f>
        <v>5.2612349287541105E-2</v>
      </c>
      <c r="F14" s="1153">
        <f>IF(ISNUMBER((Datos!M14-Datos!W14)/Datos!W14),(Datos!M14-Datos!W14)/Datos!W14," - ")</f>
        <v>1.098901098901099E-2</v>
      </c>
      <c r="G14" s="1154">
        <f>IF(ISNUMBER((Datos!N14-Datos!X14)/Datos!X14),(Datos!N14-Datos!X14)/Datos!X14," - ")</f>
        <v>0.11505122143420016</v>
      </c>
      <c r="H14" s="1154">
        <f>IF(ISNUMBER(((NºAsuntos!G14/NºAsuntos!E14)-Datos!BD14)/Datos!BD14),((NºAsuntos!G14/NºAsuntos!E14)-Datos!BD14)/Datos!BD14," - ")</f>
        <v>-6.4472553832014015E-2</v>
      </c>
      <c r="I14" s="1154">
        <f>IF(ISNUMBER(((NºAsuntos!I14/NºAsuntos!G14)-Datos!BE14)/Datos!BE14),((NºAsuntos!I14/NºAsuntos!G14)-Datos!BE14)/Datos!BE14," - ")</f>
        <v>3.6958933471125451E-2</v>
      </c>
      <c r="J14" s="1154">
        <f>IF(ISNUMBER((('Resol  Asuntos'!D14/NºAsuntos!G14)-Datos!BF14)/Datos!BF14),(('Resol  Asuntos'!D14/NºAsuntos!G14)-Datos!BF14)/Datos!BF14," - ")</f>
        <v>-0.43177513188501626</v>
      </c>
      <c r="K14" s="1154">
        <f>IF(ISNUMBER((((NºAsuntos!C14+NºAsuntos!E14)/NºAsuntos!G14)-Datos!BG14)/Datos!BG14),(((NºAsuntos!C14+NºAsuntos!E14)/NºAsuntos!G14)-Datos!BG14)/Datos!BG14," - ")</f>
        <v>3.7063862064964703E-2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-0.18744939271255059</v>
      </c>
      <c r="C16" s="515">
        <f>IF(ISNUMBER(
   IF(D_I="SI",(Datos!J16-Datos!T16)/Datos!T16,(Datos!J16+Datos!AD16-(Datos!T16+Datos!AL16))/(Datos!T16+Datos!AL16))
     ),IF(D_I="SI",(Datos!J16-Datos!T16)/Datos!T16,(Datos!J16+Datos!AD16-(Datos!T16+Datos!AL16))/(Datos!T16+Datos!AL16))," - ")</f>
        <v>0.26165205353022614</v>
      </c>
      <c r="D16" s="515">
        <f>IF(ISNUMBER(
   IF(D_I="SI",(Datos!K16-Datos!U16)/Datos!U16,(Datos!K16+Datos!AE16-(Datos!U16+Datos!AM16))/(Datos!U16+Datos!AM16))
     ),IF(D_I="SI",(Datos!K16-Datos!U16)/Datos!U16,(Datos!K16+Datos!AE16-(Datos!U16+Datos!AM16))/(Datos!U16+Datos!AM16))," - ")</f>
        <v>0.20083682008368201</v>
      </c>
      <c r="E16" s="515">
        <f>IF(ISNUMBER(
   IF(D_I="SI",(Datos!L16-Datos!V16)/Datos!V16,(Datos!L16+Datos!AF16-(Datos!V16+Datos!AN16))/(Datos!V16+Datos!AN16))
     ),IF(D_I="SI",(Datos!L16-Datos!V16)/Datos!V16,(Datos!L16+Datos!AF16-(Datos!V16+Datos!AN16))/(Datos!V16+Datos!AN16))," - ")</f>
        <v>-5.6778169014084508E-2</v>
      </c>
      <c r="F16" s="515">
        <f>IF(ISNUMBER((Datos!M16-Datos!W16)/Datos!W16),(Datos!M16-Datos!W16)/Datos!W16," - ")</f>
        <v>5.5401662049861496E-3</v>
      </c>
      <c r="G16" s="516">
        <f>IF(ISNUMBER((Datos!N16-Datos!X16)/Datos!X16),(Datos!N16-Datos!X16)/Datos!X16," - ")</f>
        <v>0.28354080221300137</v>
      </c>
      <c r="H16" s="514">
        <f>IF(ISNUMBER(((NºAsuntos!G16/NºAsuntos!E16)-Datos!BD16)/Datos!BD16),((NºAsuntos!G16/NºAsuntos!E16)-Datos!BD16)/Datos!BD16," - ")</f>
        <v>-4.8202856941719607E-2</v>
      </c>
      <c r="I16" s="515">
        <f>IF(ISNUMBER(((NºAsuntos!I16/NºAsuntos!G16)-Datos!BE16)/Datos!BE16),((NºAsuntos!I16/NºAsuntos!G16)-Datos!BE16)/Datos!BE16," - ")</f>
        <v>-0.21452955538106694</v>
      </c>
      <c r="J16" s="521">
        <f>IF(ISNUMBER((('Resol  Asuntos'!D16/NºAsuntos!G16)-Datos!BF16)/Datos!BF16),(('Resol  Asuntos'!D16/NºAsuntos!G16)-Datos!BF16)/Datos!BF16," - ")</f>
        <v>-0.16263379887459353</v>
      </c>
      <c r="K16" s="522">
        <f>IF(ISNUMBER((((NºAsuntos!C16+NºAsuntos!E16)/NºAsuntos!G16)-Datos!BG16)/Datos!BG16),(((NºAsuntos!C16+NºAsuntos!E16)/NºAsuntos!G16)-Datos!BG16)/Datos!BG16," - ")</f>
        <v>-0.1485701661908945</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-0.20316027088036118</v>
      </c>
      <c r="C18" s="515">
        <f>IF(ISNUMBER(
   IF(D_I="SI",(Datos!J18-Datos!T18)/Datos!T18,(Datos!J18+Datos!AD18-(Datos!T18+Datos!AL18))/(Datos!T18+Datos!AL18))
     ),IF(D_I="SI",(Datos!J18-Datos!T18)/Datos!T18,(Datos!J18+Datos!AD18-(Datos!T18+Datos!AL18))/(Datos!T18+Datos!AL18))," - ")</f>
        <v>-0.26348547717842324</v>
      </c>
      <c r="D18" s="515">
        <f>IF(ISNUMBER(
   IF(D_I="SI",(Datos!K18-Datos!U18)/Datos!U18,(Datos!K18+Datos!AE18-(Datos!U18+Datos!AM18))/(Datos!U18+Datos!AM18))
     ),IF(D_I="SI",(Datos!K18-Datos!U18)/Datos!U18,(Datos!K18+Datos!AE18-(Datos!U18+Datos!AM18))/(Datos!U18+Datos!AM18))," - ")</f>
        <v>2.4509803921568627E-2</v>
      </c>
      <c r="E18" s="515">
        <f>IF(ISNUMBER(
   IF(D_I="SI",(Datos!L18-Datos!V18)/Datos!V18,(Datos!L18+Datos!AF18-(Datos!V18+Datos!AN18))/(Datos!V18+Datos!AN18))
     ),IF(D_I="SI",(Datos!L18-Datos!V18)/Datos!V18,(Datos!L18+Datos!AF18-(Datos!V18+Datos!AN18))/(Datos!V18+Datos!AN18))," - ")</f>
        <v>-0.44083969465648853</v>
      </c>
      <c r="F18" s="515">
        <f>IF(ISNUMBER((Datos!M18-Datos!W18)/Datos!W18),(Datos!M18-Datos!W18)/Datos!W18," - ")</f>
        <v>-0.2608695652173913</v>
      </c>
      <c r="G18" s="516">
        <f>IF(ISNUMBER((Datos!N18-Datos!X18)/Datos!X18),(Datos!N18-Datos!X18)/Datos!X18," - ")</f>
        <v>5.078125E-2</v>
      </c>
      <c r="H18" s="514">
        <f>IF(ISNUMBER(((NºAsuntos!G18/NºAsuntos!E18)-Datos!BD18)/Datos!BD18),((NºAsuntos!G18/NºAsuntos!E18)-Datos!BD18)/Datos!BD18," - ")</f>
        <v>0.39102457884562275</v>
      </c>
      <c r="I18" s="515">
        <f>IF(ISNUMBER(((NºAsuntos!I18/NºAsuntos!G18)-Datos!BE18)/Datos!BE18),((NºAsuntos!I18/NºAsuntos!G18)-Datos!BE18)/Datos!BE18," - ")</f>
        <v>-0.45421673545418023</v>
      </c>
      <c r="J18" s="521">
        <f>IF(ISNUMBER((('Resol  Asuntos'!D18/NºAsuntos!G18)-Datos!BF18)/Datos!BF18),(('Resol  Asuntos'!D18/NºAsuntos!G18)-Datos!BF18)/Datos!BF18," - ")</f>
        <v>-0.27855211150405662</v>
      </c>
      <c r="K18" s="522">
        <f>IF(ISNUMBER((((NºAsuntos!C18+NºAsuntos!E18)/NºAsuntos!G18)-Datos!BG18)/Datos!BG18),(((NºAsuntos!C18+NºAsuntos!E18)/NºAsuntos!G18)-Datos!BG18)/Datos!BG18," - ")</f>
        <v>-0.25290572869520239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-0.18983865430827326</v>
      </c>
      <c r="C23" s="1152">
        <f>IF(ISNUMBER(
   IF(Criterios!B14="SI",(Datos!J23-Datos!T23)/Datos!T23,(Datos!J23+Datos!AD23-(Datos!T23+Datos!AL23))/(Datos!T23+Datos!AL23))
     ),IF(Criterios!B14="SI",(Datos!J23-Datos!T23)/Datos!T23,(Datos!J23+Datos!AD23-(Datos!T23+Datos!AL23))/(Datos!T23+Datos!AL23))," - ")</f>
        <v>0.16610041525103814</v>
      </c>
      <c r="D23" s="1152">
        <f>IF(ISNUMBER(
   IF(Criterios!B14="SI",(Datos!K23-Datos!U23)/Datos!U23,(Datos!K23+Datos!AE23-(Datos!U23+Datos!AM23))/(Datos!U23+Datos!AM23))
     ),IF(Criterios!B14="SI",(Datos!K23-Datos!U23)/Datos!U23,(Datos!K23+Datos!AE23-(Datos!U23+Datos!AM23))/(Datos!U23+Datos!AM23))," - ")</f>
        <v>0.17512508934953538</v>
      </c>
      <c r="E23" s="1152">
        <f>IF(ISNUMBER(
   IF(Criterios!B14="SI",(Datos!L23-Datos!V23)/Datos!V23,(Datos!L23+Datos!AF23-(Datos!V23+Datos!AN23))/(Datos!V23+Datos!AN23))
     ),IF(Criterios!B14="SI",(Datos!L23-Datos!V23)/Datos!V23,(Datos!L23+Datos!AF23-(Datos!V23+Datos!AN23))/(Datos!V23+Datos!AN23))," - ")</f>
        <v>-0.12875536480686695</v>
      </c>
      <c r="F23" s="1153">
        <f>IF(ISNUMBER((Datos!M23-Datos!W23)/Datos!W23),(Datos!M23-Datos!W23)/Datos!W23," - ")</f>
        <v>-1.0416666666666666E-2</v>
      </c>
      <c r="G23" s="1154">
        <f>IF(ISNUMBER((Datos!N23-Datos!X23)/Datos!X23),(Datos!N23-Datos!X23)/Datos!X23," - ")</f>
        <v>0.24853113983548766</v>
      </c>
      <c r="H23" s="1154">
        <f>IF(ISNUMBER(((NºAsuntos!G23/NºAsuntos!E23)-Datos!BD23)/Datos!BD23),((NºAsuntos!G23/NºAsuntos!E23)-Datos!BD23)/Datos!BD23," - ")</f>
        <v>7.7391912226996212E-3</v>
      </c>
      <c r="I23" s="1154">
        <f>IF(ISNUMBER(((NºAsuntos!I23/NºAsuntos!G23)-Datos!BE23)/Datos!BE23),((NºAsuntos!I23/NºAsuntos!G23)-Datos!BE23)/Datos!BE23," - ")</f>
        <v>-0.25859413343358073</v>
      </c>
      <c r="J23" s="1154">
        <f>IF(ISNUMBER((('Resol  Asuntos'!D23/NºAsuntos!G23)-Datos!BF23)/Datos!BF23),(('Resol  Asuntos'!D23/NºAsuntos!G23)-Datos!BF23)/Datos!BF23," - ")</f>
        <v>-0.15789106853203563</v>
      </c>
      <c r="K23" s="1154">
        <f>IF(ISNUMBER((((NºAsuntos!C23+NºAsuntos!E23)/NºAsuntos!G23)-Datos!BG23)/Datos!BG23),(((NºAsuntos!C23+NºAsuntos!E23)/NºAsuntos!G23)-Datos!BG23)/Datos!BG23," - ")</f>
        <v>-0.16631550467151526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-1.8906444168293981E-2</v>
      </c>
      <c r="C31" s="1092">
        <f>IF(ISNUMBER(
   IF(J_V="SI",(Datos!J31-Datos!T31)/Datos!T31,(Datos!J31+Datos!Z31-(Datos!T31+Datos!AH31))/(Datos!T31+Datos!AH31))
     ),IF(J_V="SI",(Datos!J31-Datos!T31)/Datos!T31,(Datos!J31+Datos!Z31-(Datos!T31+Datos!AH31))/(Datos!T31+Datos!AH31))," - ")</f>
        <v>0.12237093690248566</v>
      </c>
      <c r="D31" s="1092">
        <f>IF(ISNUMBER(
   IF(J_V="SI",(Datos!K31-Datos!U31)/Datos!U31,(Datos!K31+Datos!AA31-(Datos!U31+Datos!AI31))/(Datos!U31+Datos!AI31))
     ),IF(J_V="SI",(Datos!K31-Datos!U31)/Datos!U31,(Datos!K31+Datos!AA31-(Datos!U31+Datos!AI31))/(Datos!U31+Datos!AI31))," - ")</f>
        <v>8.9179351422898748E-2</v>
      </c>
      <c r="E31" s="1092">
        <f>IF(ISNUMBER(
   IF(J_V="SI",(Datos!L31-Datos!V31)/Datos!V31,(Datos!L31+Datos!AB31-(Datos!V31+Datos!AJ31))/(Datos!V31+Datos!AJ31))
     ),IF(J_V="SI",(Datos!L31-Datos!V31)/Datos!V31,(Datos!L31+Datos!AB31-(Datos!V31+Datos!AJ31))/(Datos!V31+Datos!AJ31))," - ")</f>
        <v>6.5412919051512676E-3</v>
      </c>
      <c r="F31" s="1093">
        <f>IF(ISNUMBER((Datos!M31-Datos!W31)/Datos!W31),(Datos!M31-Datos!W31)/Datos!W31," - ")</f>
        <v>3.5971223021582736E-3</v>
      </c>
      <c r="G31" s="1094">
        <f>IF(ISNUMBER((Datos!N31-Datos!X31)/Datos!X31),(Datos!N31-Datos!X31)/Datos!X31," - ")</f>
        <v>0.19151800740491418</v>
      </c>
      <c r="H31" s="1095">
        <f>IF(ISNUMBER((Tasas!B31-Datos!BD31)/Datos!BD31),(Tasas!B31-Datos!BD31)/Datos!BD31," - ")</f>
        <v>-2.957274140685499E-2</v>
      </c>
      <c r="I31" s="1096">
        <f>IF(ISNUMBER((Tasas!C31-Datos!BE31)/Datos!BE31),(Tasas!C31-Datos!BE31)/Datos!BE31," - ")</f>
        <v>-7.5871856558600251E-2</v>
      </c>
      <c r="J31" s="1097">
        <f>IF(ISNUMBER((Tasas!D31-Datos!BF31)/Datos!BF31),(Tasas!D31-Datos!BF31)/Datos!BF31," - ")</f>
        <v>-0.38275624143238607</v>
      </c>
      <c r="K31" s="1097">
        <f>IF(ISNUMBER((Tasas!E31-Datos!BG31)/Datos!BG31),(Tasas!E31-Datos!BG31)/Datos!BG31," - ")</f>
        <v>-5.5389631323845778E-2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13piV9XJS0Bf5l03LAAxExHRStvvd7b0NCyzZUXAs7DVPPVa+PMRPmgsm/cDLYvnDjUuoOhNiS8SmVOUemB9g==" saltValue="A6V8xNEBL3A6Eib8rZVwl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GUADALAJARA</v>
      </c>
    </row>
    <row r="4" spans="1:7" ht="11.25" customHeight="1" thickBot="1">
      <c r="B4" s="439" t="str">
        <f>Criterios!A11 &amp;"  "&amp;Criterios!B11</f>
        <v>Resumenes por Partidos Judiciales  GUADALAJARA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0.99358974358974361</v>
      </c>
      <c r="C9" s="498">
        <f>IF(ISNUMBER(NºAsuntos!I9/NºAsuntos!G9),NºAsuntos!I9/NºAsuntos!G9," - ")</f>
        <v>2.4738351254480286</v>
      </c>
      <c r="D9" s="499">
        <f>IF(ISNUMBER('Resol  Asuntos'!D9/NºAsuntos!G9),'Resol  Asuntos'!D9/NºAsuntos!G9," - ")</f>
        <v>0.20394265232974909</v>
      </c>
      <c r="E9" s="500">
        <f>IF(ISNUMBER((NºAsuntos!C9+NºAsuntos!E9)/NºAsuntos!G9),(NºAsuntos!C9+NºAsuntos!E9)/NºAsuntos!G9," - ")</f>
        <v>3.5179211469534049</v>
      </c>
      <c r="G9" s="523"/>
    </row>
    <row r="10" spans="1:7">
      <c r="A10" s="450" t="str">
        <f>Datos!A10</f>
        <v>Jdos. Violencia contra la mujer</v>
      </c>
      <c r="B10" s="497">
        <f>IF(ISNUMBER(NºAsuntos!G10/NºAsuntos!E10),NºAsuntos!G10/NºAsuntos!E10," - ")</f>
        <v>3.5</v>
      </c>
      <c r="C10" s="498">
        <f>IF(ISNUMBER(NºAsuntos!I10/NºAsuntos!G10),NºAsuntos!I10/NºAsuntos!G10," - ")</f>
        <v>4.1428571428571432</v>
      </c>
      <c r="D10" s="499">
        <f>IF(ISNUMBER('Resol  Asuntos'!D10/NºAsuntos!G10),'Resol  Asuntos'!D10/NºAsuntos!G10," - ")</f>
        <v>0.54285714285714282</v>
      </c>
      <c r="E10" s="500">
        <f>IF(ISNUMBER((NºAsuntos!C10+NºAsuntos!E10)/NºAsuntos!G10),(NºAsuntos!C10+NºAsuntos!E10)/NºAsuntos!G10," - ")</f>
        <v>5.1428571428571432</v>
      </c>
      <c r="G10" s="523"/>
    </row>
    <row r="11" spans="1:7">
      <c r="A11" s="450" t="str">
        <f>Datos!A11</f>
        <v xml:space="preserve">Jdos. Familia                                   </v>
      </c>
      <c r="B11" s="497">
        <f>IF(ISNUMBER(NºAsuntos!G11/NºAsuntos!E11),NºAsuntos!G11/NºAsuntos!E11," - ")</f>
        <v>0.8545454545454545</v>
      </c>
      <c r="C11" s="498">
        <f>IF(ISNUMBER(NºAsuntos!I11/NºAsuntos!G11),NºAsuntos!I11/NºAsuntos!G11," - ")</f>
        <v>3.3957446808510636</v>
      </c>
      <c r="D11" s="499">
        <f>IF(ISNUMBER('Resol  Asuntos'!D11/NºAsuntos!G11),'Resol  Asuntos'!D11/NºAsuntos!G11," - ")</f>
        <v>0.31489361702127661</v>
      </c>
      <c r="E11" s="500">
        <f>IF(ISNUMBER((NºAsuntos!C11+NºAsuntos!E11)/NºAsuntos!G11),(NºAsuntos!C11+NºAsuntos!E11)/NºAsuntos!G11," - ")</f>
        <v>4.3957446808510641</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0.97832541567695963</v>
      </c>
      <c r="C14" s="1156">
        <f>IF(ISNUMBER(NºAsuntos!I14/NºAsuntos!G14),NºAsuntos!I14/NºAsuntos!G14," - ")</f>
        <v>2.6230652503793626</v>
      </c>
      <c r="D14" s="1157">
        <f>IF(ISNUMBER('Resol  Asuntos'!D14/NºAsuntos!G14),'Resol  Asuntos'!D14/NºAsuntos!G14," - ")</f>
        <v>0.22336874051593322</v>
      </c>
      <c r="E14" s="1158">
        <f>IF(ISNUMBER((NºAsuntos!C14+NºAsuntos!E14)/NºAsuntos!G14),(NºAsuntos!C14+NºAsuntos!E14)/NºAsuntos!G14," - ")</f>
        <v>3.6603945371775417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1.0497439648866129</v>
      </c>
      <c r="C16" s="498">
        <f>IF(ISNUMBER(NºAsuntos!I16/NºAsuntos!G16),NºAsuntos!I16/NºAsuntos!G16," - ")</f>
        <v>0.74668989547038322</v>
      </c>
      <c r="D16" s="499">
        <f>IF(ISNUMBER('Resol  Asuntos'!D16/NºAsuntos!G16),'Resol  Asuntos'!D16/NºAsuntos!G16," - ")</f>
        <v>0.12648083623693379</v>
      </c>
      <c r="E16" s="500">
        <f>IF(ISNUMBER((NºAsuntos!C16+NºAsuntos!E16)/NºAsuntos!G16),(NºAsuntos!C16+NºAsuntos!E16)/NºAsuntos!G16," - ")</f>
        <v>1.6519163763066202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1.1774647887323944</v>
      </c>
      <c r="C18" s="498">
        <f>IF(ISNUMBER(NºAsuntos!I18/NºAsuntos!G18),NºAsuntos!I18/NºAsuntos!G18," - ")</f>
        <v>0.70095693779904311</v>
      </c>
      <c r="D18" s="499">
        <f>IF(ISNUMBER('Resol  Asuntos'!D18/NºAsuntos!G18),'Resol  Asuntos'!D18/NºAsuntos!G18," - ")</f>
        <v>4.0669856459330141E-2</v>
      </c>
      <c r="E18" s="500">
        <f>IF(ISNUMBER((NºAsuntos!C18+NºAsuntos!E18)/NºAsuntos!G18),(NºAsuntos!C18+NºAsuntos!E18)/NºAsuntos!G18," - ")</f>
        <v>1.6937799043062201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1.064422143088378</v>
      </c>
      <c r="C23" s="1156">
        <f>IF(ISNUMBER(NºAsuntos!I23/NºAsuntos!G23),NºAsuntos!I23/NºAsuntos!G23," - ")</f>
        <v>0.74087591240875916</v>
      </c>
      <c r="D23" s="1159">
        <f>IF(ISNUMBER('Resol  Asuntos'!D23/NºAsuntos!G23),'Resol  Asuntos'!D23/NºAsuntos!G23," - ")</f>
        <v>0.11557177615571776</v>
      </c>
      <c r="E23" s="1158">
        <f>IF(ISNUMBER((NºAsuntos!C23+NºAsuntos!E23)/NºAsuntos!G23),(NºAsuntos!C23+NºAsuntos!E23)/NºAsuntos!G23," - ")</f>
        <v>1.6572384428223845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1.0195137060554438</v>
      </c>
      <c r="C31" s="1099">
        <f>IF(ISNUMBER(NºAsuntos!I31/NºAsuntos!G31),NºAsuntos!I31/NºAsuntos!G31," - ")</f>
        <v>1.6829712896855538</v>
      </c>
      <c r="D31" s="1100">
        <f>IF(ISNUMBER('Resol  Asuntos'!D31/NºAsuntos!G31),'Resol  Asuntos'!D31/NºAsuntos!G31," - ")</f>
        <v>0.16952757101625399</v>
      </c>
      <c r="E31" s="1101">
        <f>IF(ISNUMBER((NºAsuntos!C31+NºAsuntos!E31)/NºAsuntos!G31),(NºAsuntos!C31+NºAsuntos!E31)/NºAsuntos!G31," - ")</f>
        <v>2.6598815129879996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CIyHw3TdHAT1F/j8q/rx2YPjrAZrYVXPxrRi7DqWyoMq9U0VGTiZxjHzxPsbheGqkMbN17xGZJNuBIBrtbbMg==" saltValue="H98zWqZQP31tYwD+0onDx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GUADALAJARA</v>
      </c>
      <c r="N2" s="368" t="str">
        <f>Criterios!A11 &amp;"  "&amp;Criterios!B11</f>
        <v>Resumenes por Partidos Judiciales  GUADALAJARA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2 al 2</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317</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644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366</v>
      </c>
      <c r="Y9" s="374">
        <f>SUM(W9:X9)</f>
        <v>366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11915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569</v>
      </c>
      <c r="AJ9" s="243" t="str">
        <f>IF(ISNUMBER(Datos!BW9),Datos!BW9," - ")</f>
        <v xml:space="preserve"> - </v>
      </c>
      <c r="AK9" s="242" t="str">
        <f>IF(ISNUMBER(Datos!BX9),Datos!BX9," - ")</f>
        <v xml:space="preserve"> - </v>
      </c>
      <c r="AL9" s="266">
        <f>IF(ISNUMBER(NºAsuntos!G9/NºAsuntos!E9),NºAsuntos!G9/NºAsuntos!E9," - ")</f>
        <v>0.99358974358974361</v>
      </c>
      <c r="AM9" s="284">
        <f>IF(ISNUMBER(((NºAsuntos!I9/NºAsuntos!G9)*11)/factor_trimestre),((NºAsuntos!I9/NºAsuntos!G9)*11)/factor_trimestre," - ")</f>
        <v>7.4215053763440864</v>
      </c>
      <c r="AN9" s="267">
        <f>IF(ISNUMBER('Resol  Asuntos'!D9/NºAsuntos!G9),'Resol  Asuntos'!D9/NºAsuntos!G9," - ")</f>
        <v>0.20394265232974909</v>
      </c>
      <c r="AO9" s="268">
        <f>IF(ISNUMBER((NºAsuntos!C9+NºAsuntos!E9)/NºAsuntos!G9),(NºAsuntos!C9+NºAsuntos!E9)/NºAsuntos!G9," - ")</f>
        <v>3.5179211469534049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0</v>
      </c>
      <c r="F10" s="239">
        <f>IF(ISNUMBER(Datos!L10+Datos!K10-Datos!J10-K10),Datos!L10+Datos!K10-Datos!J10-K10," - ")</f>
        <v>170</v>
      </c>
      <c r="G10" s="373">
        <f>IF(ISNUMBER(Datos!I10),Datos!I10," - ")</f>
        <v>170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35</v>
      </c>
      <c r="X10" s="240">
        <f>IF(ISNUMBER(Datos!Q10),Datos!Q10," - ")</f>
        <v>1</v>
      </c>
      <c r="Y10" s="374">
        <f t="shared" ref="Y10:Y13" si="0">SUM(W10:X10)</f>
        <v>36</v>
      </c>
      <c r="Z10" s="375" t="str">
        <f>IF(ISNUMBER(Datos!CC10),Datos!CC10," - ")</f>
        <v xml:space="preserve"> - </v>
      </c>
      <c r="AA10" s="372">
        <f>IF(ISNUMBER(Datos!L10),Datos!L10,"-")</f>
        <v>145</v>
      </c>
      <c r="AB10" s="374">
        <f>IF(ISNUMBER(Datos!R10),Datos!R10," - ")</f>
        <v>96</v>
      </c>
      <c r="AC10" s="374">
        <f t="shared" ref="AC10:AC13" si="1">IF(ISNUMBER(AA10+AB10),AA10+AB10," - ")</f>
        <v>241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19</v>
      </c>
      <c r="AJ10" s="245" t="str">
        <f>IF(ISNUMBER(Datos!BW10),Datos!BW10," - ")</f>
        <v xml:space="preserve"> - </v>
      </c>
      <c r="AK10" s="246" t="str">
        <f>IF(ISNUMBER(Datos!BX10),Datos!BX10," - ")</f>
        <v xml:space="preserve"> - </v>
      </c>
      <c r="AL10" s="266">
        <f>IF(ISNUMBER(NºAsuntos!G10/NºAsuntos!E10),NºAsuntos!G10/NºAsuntos!E10," - ")</f>
        <v>3.5</v>
      </c>
      <c r="AM10" s="284">
        <f>IF(ISNUMBER(((NºAsuntos!I10/NºAsuntos!G10)*11)/factor_trimestre),((NºAsuntos!I10/NºAsuntos!G10)*11)/factor_trimestre," - ")</f>
        <v>12.428571428571431</v>
      </c>
      <c r="AN10" s="267">
        <f>IF(ISNUMBER('Resol  Asuntos'!D10/NºAsuntos!G10),'Resol  Asuntos'!D10/NºAsuntos!G10," - ")</f>
        <v>0.54285714285714282</v>
      </c>
      <c r="AO10" s="268">
        <f>IF(ISNUMBER((NºAsuntos!C10+NºAsuntos!E10)/NºAsuntos!G10),(NºAsuntos!C10+NºAsuntos!E10)/NºAsuntos!G10," - ")</f>
        <v>5.1428571428571432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139</v>
      </c>
      <c r="Y11" s="374">
        <f t="shared" si="0"/>
        <v>139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1048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148</v>
      </c>
      <c r="AJ11" s="245" t="str">
        <f>IF(ISNUMBER(Datos!BW11),Datos!BW11," - ")</f>
        <v xml:space="preserve"> - </v>
      </c>
      <c r="AK11" s="246" t="str">
        <f>IF(ISNUMBER(Datos!BX11),Datos!BX11," - ")</f>
        <v xml:space="preserve"> - </v>
      </c>
      <c r="AL11" s="266">
        <f>IF(ISNUMBER(NºAsuntos!G11/NºAsuntos!E11),NºAsuntos!G11/NºAsuntos!E11," - ")</f>
        <v>0.8545454545454545</v>
      </c>
      <c r="AM11" s="284">
        <f>IF(ISNUMBER(((NºAsuntos!I11/NºAsuntos!G11)*11)/factor_trimestre),((NºAsuntos!I11/NºAsuntos!G11)*11)/factor_trimestre," - ")</f>
        <v>10.187234042553191</v>
      </c>
      <c r="AN11" s="267">
        <f>IF(ISNUMBER('Resol  Asuntos'!D11/NºAsuntos!G11),'Resol  Asuntos'!D11/NºAsuntos!G11," - ")</f>
        <v>0.31489361702127661</v>
      </c>
      <c r="AO11" s="268">
        <f>IF(ISNUMBER((NºAsuntos!C11+NºAsuntos!E11)/NºAsuntos!G11),(NºAsuntos!C11+NºAsuntos!E11)/NºAsuntos!G11," - ")</f>
        <v>4.3957446808510641</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170</v>
      </c>
      <c r="G14" s="1163">
        <f t="shared" si="5"/>
        <v>170</v>
      </c>
      <c r="H14" s="1162">
        <f t="shared" si="5"/>
        <v>0</v>
      </c>
      <c r="I14" s="1164">
        <f t="shared" si="5"/>
        <v>0</v>
      </c>
      <c r="J14" s="1164">
        <f t="shared" si="5"/>
        <v>0</v>
      </c>
      <c r="K14" s="1164">
        <f t="shared" si="5"/>
        <v>0</v>
      </c>
      <c r="L14" s="1164">
        <f t="shared" si="5"/>
        <v>711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35</v>
      </c>
      <c r="X14" s="1164">
        <f t="shared" si="6"/>
        <v>506</v>
      </c>
      <c r="Y14" s="1165">
        <f t="shared" si="6"/>
        <v>541</v>
      </c>
      <c r="Z14" s="1165">
        <f t="shared" si="6"/>
        <v>0</v>
      </c>
      <c r="AA14" s="1165">
        <f t="shared" si="6"/>
        <v>145</v>
      </c>
      <c r="AB14" s="1165">
        <f t="shared" si="6"/>
        <v>13088</v>
      </c>
      <c r="AC14" s="1165">
        <f t="shared" si="6"/>
        <v>241</v>
      </c>
      <c r="AD14" s="1165">
        <f t="shared" si="6"/>
        <v>0</v>
      </c>
      <c r="AE14" s="1169">
        <f t="shared" si="6"/>
        <v>0</v>
      </c>
      <c r="AF14" s="1162">
        <f t="shared" si="6"/>
        <v>0</v>
      </c>
      <c r="AG14" s="1170">
        <f t="shared" si="6"/>
        <v>0</v>
      </c>
      <c r="AH14" s="1167">
        <f t="shared" si="6"/>
        <v>0</v>
      </c>
      <c r="AI14" s="1162">
        <f t="shared" si="6"/>
        <v>736</v>
      </c>
      <c r="AJ14" s="1164">
        <f t="shared" si="6"/>
        <v>0</v>
      </c>
      <c r="AK14" s="1167">
        <f>SUBTOTAL(9,AK9:AK13)</f>
        <v>0</v>
      </c>
      <c r="AL14" s="1171">
        <f>IF(ISNUMBER(NºAsuntos!G14/NºAsuntos!E14),NºAsuntos!G14/NºAsuntos!E14," - ")</f>
        <v>0.97832541567695963</v>
      </c>
      <c r="AM14" s="1171">
        <f>IF(ISNUMBER(((NºAsuntos!I14/NºAsuntos!G14)*11)/factor_trimestre),((NºAsuntos!I14/NºAsuntos!G14)*11)/factor_trimestre," - ")</f>
        <v>7.8691957511380872</v>
      </c>
      <c r="AN14" s="1172">
        <f>IF(ISNUMBER('Resol  Asuntos'!D14/NºAsuntos!G14),'Resol  Asuntos'!D14/NºAsuntos!G14," - ")</f>
        <v>0.22336874051593322</v>
      </c>
      <c r="AO14" s="1173">
        <f>IF(ISNUMBER((NºAsuntos!C14+NºAsuntos!E14)/NºAsuntos!G14),(NºAsuntos!C14+NºAsuntos!E14)/NºAsuntos!G14," - ")</f>
        <v>3.6603945371775417</v>
      </c>
      <c r="AP14" s="1174" t="str">
        <f t="shared" si="2"/>
        <v xml:space="preserve"> - </v>
      </c>
      <c r="AQ14" s="1174">
        <f>IF(ISNUMBER((H14-W14+K14)/(F14)),(H14-W14+K14)/(F14)," - ")</f>
        <v>-0.20588235294117646</v>
      </c>
      <c r="AR14" s="1175">
        <f>IF(ISNUMBER((Datos!P14-Datos!Q14)/(Datos!R14-Datos!P14+Datos!Q14)),(Datos!P14-Datos!Q14)/(Datos!R14-Datos!P14+Datos!Q14)," - ")</f>
        <v>1.5912442754016921E-2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507</v>
      </c>
      <c r="C16" s="173" t="str">
        <f>Datos!A16</f>
        <v xml:space="preserve">Jdos. Instrucción                               </v>
      </c>
      <c r="D16" s="173"/>
      <c r="E16" s="1402">
        <f>IF(ISNUMBER(Datos!AQ16),Datos!AQ16," - ")</f>
        <v>4</v>
      </c>
      <c r="F16" s="239">
        <f>IF(ISNUMBER(AA16+W16-Datos!J16-K16),AA16+W16-Datos!J16-K16," - ")</f>
        <v>2279</v>
      </c>
      <c r="G16" s="373">
        <f>IF(ISNUMBER(IF(D_I="SI",Datos!I16,Datos!I16+Datos!AC16)),IF(D_I="SI",Datos!I16,Datos!I16+Datos!AC16)," - ")</f>
        <v>2007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118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2870</v>
      </c>
      <c r="X16" s="240">
        <f>IF(ISNUMBER(Datos!Q16),Datos!Q16," - ")</f>
        <v>55</v>
      </c>
      <c r="Y16" s="374">
        <f>SUM(W16)</f>
        <v>2870</v>
      </c>
      <c r="Z16" s="375" t="str">
        <f>IF(ISNUMBER(Datos!CC16),Datos!CC16," - ")</f>
        <v xml:space="preserve"> - </v>
      </c>
      <c r="AA16" s="372">
        <f>IF(ISNUMBER(IF(D_I="SI",Datos!L16,Datos!L16+Datos!AF16)),IF(D_I="SI",Datos!L16,Datos!L16+Datos!AF16)," - ")</f>
        <v>2143</v>
      </c>
      <c r="AB16" s="374">
        <f>IF(ISNUMBER(Datos!R16),Datos!R16," - ")</f>
        <v>484</v>
      </c>
      <c r="AC16" s="374">
        <f t="shared" ref="AC16:AC22" si="8">IF(ISNUMBER(AA16+AB16),AA16+AB16," - ")</f>
        <v>2627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363</v>
      </c>
      <c r="AJ16" s="245" t="str">
        <f>IF(ISNUMBER(Datos!BW16),Datos!BW16," - ")</f>
        <v xml:space="preserve"> - </v>
      </c>
      <c r="AK16" s="246" t="str">
        <f>IF(ISNUMBER(Datos!BX16),Datos!BX16," - ")</f>
        <v xml:space="preserve"> - </v>
      </c>
      <c r="AL16" s="266">
        <f>IF(ISNUMBER(NºAsuntos!G16/NºAsuntos!E16),NºAsuntos!G16/NºAsuntos!E16," - ")</f>
        <v>1.0497439648866129</v>
      </c>
      <c r="AM16" s="284">
        <f>IF(ISNUMBER(((NºAsuntos!I16/NºAsuntos!G16)*11)/factor_trimestre),((NºAsuntos!I16/NºAsuntos!G16)*11)/factor_trimestre," - ")</f>
        <v>2.2400696864111498</v>
      </c>
      <c r="AN16" s="267">
        <f>IF(ISNUMBER('Resol  Asuntos'!D16/NºAsuntos!G16),'Resol  Asuntos'!D16/NºAsuntos!G16," - ")</f>
        <v>0.12648083623693379</v>
      </c>
      <c r="AO16" s="268">
        <f>IF(ISNUMBER((NºAsuntos!C16+NºAsuntos!E16)/NºAsuntos!G16),(NºAsuntos!C16+NºAsuntos!E16)/NºAsuntos!G16," - ")</f>
        <v>1.6519163763066202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353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418</v>
      </c>
      <c r="X18" s="240">
        <f>IF(ISNUMBER(Datos!Q18),Datos!Q18," - ")</f>
        <v>0</v>
      </c>
      <c r="Y18" s="374">
        <f t="shared" si="9"/>
        <v>418</v>
      </c>
      <c r="Z18" s="375" t="str">
        <f>IF(ISNUMBER(Datos!CC18),Datos!CC18," - ")</f>
        <v xml:space="preserve"> - </v>
      </c>
      <c r="AA18" s="372">
        <f>IF(ISNUMBER(Datos!L18),Datos!L18,"-")</f>
        <v>293</v>
      </c>
      <c r="AB18" s="374">
        <f>IF(ISNUMBER(Datos!R18),Datos!R18," - ")</f>
        <v>9</v>
      </c>
      <c r="AC18" s="374">
        <f t="shared" si="8"/>
        <v>302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1.1774647887323944</v>
      </c>
      <c r="AM18" s="284">
        <f>IF(ISNUMBER(((NºAsuntos!I18/NºAsuntos!G18)*11)/factor_trimestre),((NºAsuntos!I18/NºAsuntos!G18)*11)/factor_trimestre," - ")</f>
        <v>2.1028708133971294</v>
      </c>
      <c r="AN18" s="267">
        <f>IF(ISNUMBER('Resol  Asuntos'!D18/NºAsuntos!G18),'Resol  Asuntos'!D18/NºAsuntos!G18," - ")</f>
        <v>4.0669856459330141E-2</v>
      </c>
      <c r="AO18" s="268">
        <f>IF(ISNUMBER((NºAsuntos!C18+NºAsuntos!E18)/NºAsuntos!G18),(NºAsuntos!C18+NºAsuntos!E18)/NºAsuntos!G18," - ")</f>
        <v>1.6937799043062201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2279</v>
      </c>
      <c r="G23" s="1163">
        <f>SUBTOTAL(9,G16:G22)</f>
        <v>2360</v>
      </c>
      <c r="H23" s="1162">
        <f t="shared" ref="H23:O23" si="13">SUBTOTAL(9,H15:H22)</f>
        <v>0</v>
      </c>
      <c r="I23" s="1164">
        <f t="shared" si="13"/>
        <v>0</v>
      </c>
      <c r="J23" s="1164">
        <f t="shared" si="13"/>
        <v>0</v>
      </c>
      <c r="K23" s="1164">
        <f t="shared" si="13"/>
        <v>0</v>
      </c>
      <c r="L23" s="1164">
        <f t="shared" si="13"/>
        <v>120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3288</v>
      </c>
      <c r="X23" s="1164">
        <f t="shared" si="14"/>
        <v>55</v>
      </c>
      <c r="Y23" s="1165">
        <f t="shared" si="14"/>
        <v>3288</v>
      </c>
      <c r="Z23" s="1165">
        <f t="shared" si="14"/>
        <v>0</v>
      </c>
      <c r="AA23" s="1165">
        <f t="shared" si="14"/>
        <v>2436</v>
      </c>
      <c r="AB23" s="1165">
        <f t="shared" si="14"/>
        <v>493</v>
      </c>
      <c r="AC23" s="1165">
        <f t="shared" si="14"/>
        <v>2929</v>
      </c>
      <c r="AD23" s="1165">
        <f t="shared" si="14"/>
        <v>0</v>
      </c>
      <c r="AE23" s="1169">
        <f t="shared" si="14"/>
        <v>0</v>
      </c>
      <c r="AF23" s="1162">
        <f t="shared" si="14"/>
        <v>0</v>
      </c>
      <c r="AG23" s="1170">
        <f t="shared" si="14"/>
        <v>0</v>
      </c>
      <c r="AH23" s="1167">
        <f t="shared" si="14"/>
        <v>0</v>
      </c>
      <c r="AI23" s="1162">
        <f t="shared" si="14"/>
        <v>380</v>
      </c>
      <c r="AJ23" s="1164">
        <f t="shared" si="14"/>
        <v>0</v>
      </c>
      <c r="AK23" s="1167">
        <f t="shared" si="14"/>
        <v>0</v>
      </c>
      <c r="AL23" s="1171">
        <f>IF(ISNUMBER(NºAsuntos!G23/NºAsuntos!E23),NºAsuntos!G23/NºAsuntos!E23," - ")</f>
        <v>1.064422143088378</v>
      </c>
      <c r="AM23" s="1171">
        <f>IF(ISNUMBER(((NºAsuntos!I23/NºAsuntos!G23)*11)/factor_trimestre),((NºAsuntos!I23/NºAsuntos!G23)*11)/factor_trimestre," - ")</f>
        <v>2.2226277372262775</v>
      </c>
      <c r="AN23" s="1172">
        <f>IF(ISNUMBER('Resol  Asuntos'!D23/NºAsuntos!G23),'Resol  Asuntos'!D23/NºAsuntos!G23," - ")</f>
        <v>0.11557177615571776</v>
      </c>
      <c r="AO23" s="1173">
        <f>IF(ISNUMBER((NºAsuntos!C23+NºAsuntos!E23)/NºAsuntos!G23),(NºAsuntos!C23+NºAsuntos!E23)/NºAsuntos!G23," - ")</f>
        <v>1.6572384428223845</v>
      </c>
      <c r="AP23" s="1174" t="str">
        <f t="shared" si="2"/>
        <v xml:space="preserve"> - </v>
      </c>
      <c r="AQ23" s="1174">
        <f>IF(ISNUMBER((H23-W23+K23)/(F23)),(H23-W23+K23)/(F23)," - ")</f>
        <v>-1.4427380430013164</v>
      </c>
      <c r="AR23" s="1175">
        <f>IF(ISNUMBER((Datos!P23-Datos!Q23)/(Datos!R23-Datos!P23+Datos!Q23)),(Datos!P23-Datos!Q23)/(Datos!R23-Datos!P23+Datos!Q23)," - ")</f>
        <v>0.15186915887850466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2449</v>
      </c>
      <c r="G31" s="1118">
        <f t="shared" si="20"/>
        <v>2530</v>
      </c>
      <c r="H31" s="1117">
        <f t="shared" si="20"/>
        <v>0</v>
      </c>
      <c r="I31" s="1119">
        <f t="shared" si="20"/>
        <v>0</v>
      </c>
      <c r="J31" s="1119">
        <f t="shared" si="20"/>
        <v>0</v>
      </c>
      <c r="K31" s="1180">
        <f t="shared" si="20"/>
        <v>0</v>
      </c>
      <c r="L31" s="1119">
        <f t="shared" si="20"/>
        <v>831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3323</v>
      </c>
      <c r="X31" s="1118">
        <f t="shared" si="21"/>
        <v>561</v>
      </c>
      <c r="Y31" s="1125">
        <f t="shared" si="21"/>
        <v>3829</v>
      </c>
      <c r="Z31" s="1125">
        <f t="shared" si="21"/>
        <v>0</v>
      </c>
      <c r="AA31" s="1125">
        <f t="shared" si="21"/>
        <v>2581</v>
      </c>
      <c r="AB31" s="1125">
        <f t="shared" si="21"/>
        <v>13581</v>
      </c>
      <c r="AC31" s="1125">
        <f t="shared" si="21"/>
        <v>3170</v>
      </c>
      <c r="AD31" s="1125">
        <f t="shared" si="21"/>
        <v>0</v>
      </c>
      <c r="AE31" s="1127">
        <f t="shared" si="21"/>
        <v>0</v>
      </c>
      <c r="AF31" s="1128">
        <f t="shared" si="21"/>
        <v>0</v>
      </c>
      <c r="AG31" s="1129">
        <f t="shared" si="21"/>
        <v>0</v>
      </c>
      <c r="AH31" s="1127">
        <f t="shared" si="21"/>
        <v>0</v>
      </c>
      <c r="AI31" s="1117">
        <f t="shared" si="21"/>
        <v>1116</v>
      </c>
      <c r="AJ31" s="1117">
        <f t="shared" si="21"/>
        <v>0</v>
      </c>
      <c r="AK31" s="1127">
        <f t="shared" si="21"/>
        <v>0</v>
      </c>
      <c r="AL31" s="1183">
        <f>IF(ISNUMBER(NºAsuntos!G31/NºAsuntos!E31),NºAsuntos!G31/NºAsuntos!E31," - ")</f>
        <v>1.0195137060554438</v>
      </c>
      <c r="AM31" s="1184">
        <f>IF(ISNUMBER(((NºAsuntos!I31/NºAsuntos!G31)*11)/factor_trimestre),((NºAsuntos!I31/NºAsuntos!G31)*11)/factor_trimestre," - ")</f>
        <v>5.0489138690566611</v>
      </c>
      <c r="AN31" s="1184">
        <f>IF(ISNUMBER('Resol  Asuntos'!D31/NºAsuntos!G31),'Resol  Asuntos'!D31/NºAsuntos!G31," - ")</f>
        <v>0.16952757101625399</v>
      </c>
      <c r="AO31" s="1185">
        <f>IF(ISNUMBER((NºAsuntos!C31+NºAsuntos!E31)/NºAsuntos!G31),(NºAsuntos!C31+NºAsuntos!E31)/NºAsuntos!G31," - ")</f>
        <v>2.6598815129879996</v>
      </c>
      <c r="AP31" s="1186" t="str">
        <f t="shared" si="2"/>
        <v xml:space="preserve"> - </v>
      </c>
      <c r="AQ31" s="1187">
        <f>IF(OR(ISNUMBER(FIND("01",Criterios!A8,1)),ISNUMBER(FIND("02",Criterios!A8,1)),ISNUMBER(FIND("03",Criterios!A8,1)),ISNUMBER(FIND("04",Criterios!A8,1))),(I31-W31+K31)/(F31-K31),(H31-W31+K31)/(F31-K31))</f>
        <v>-1.3568803593303389</v>
      </c>
      <c r="AR31" s="1188">
        <f>IF(ISNUMBER((Datos!P31-Datos!Q31)/(Datos!R31-Datos!P31+Datos!Q31)),(Datos!P31-Datos!Q31)/(Datos!R31-Datos!P31+Datos!Q31)," - ")</f>
        <v>2.0283975659229209E-2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722.85714285714289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2.5351332479369448</v>
      </c>
      <c r="F33" s="276">
        <f>IF(ISNUMBER(STDEV(F8:F30)),STDEV(F8:F30),"-")</f>
        <v>1135.5246658116532</v>
      </c>
      <c r="G33" s="277">
        <f>IF(ISNUMBER(STDEV(G8:G30)),STDEV(G8:G30),"-")</f>
        <v>1010.1485746449098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1467.1466476512448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272.02892003118592</v>
      </c>
      <c r="AJ33" s="276">
        <f t="shared" si="25"/>
        <v>0</v>
      </c>
      <c r="AK33" s="278">
        <f t="shared" si="25"/>
        <v>0</v>
      </c>
      <c r="AL33" s="273">
        <f t="shared" si="25"/>
        <v>0.94256616730815113</v>
      </c>
      <c r="AM33" s="274">
        <f t="shared" si="25"/>
        <v>4.224812439684869</v>
      </c>
      <c r="AN33" s="274">
        <f t="shared" si="25"/>
        <v>0.16593714913645793</v>
      </c>
      <c r="AO33" s="275">
        <f t="shared" si="25"/>
        <v>1.4431923788643783</v>
      </c>
      <c r="AP33" s="317" t="str">
        <f t="shared" si="25"/>
        <v>-</v>
      </c>
      <c r="AQ33" s="318">
        <f t="shared" si="25"/>
        <v>0.87458904579069163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AEPc67N3hrw14ZGH7QZqSw+05I1di86Ykthrxji5yeyL/ATOjp7rF4x3pJLqzNJ3roQF4K02/jZX+KSb9wUyw==" saltValue="E9va/bddO9BPYDz9lCDG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GUADALAJARA</v>
      </c>
      <c r="E3" s="287"/>
    </row>
    <row r="4" spans="2:20" ht="17.25" customHeight="1" thickBot="1">
      <c r="D4" s="286" t="str">
        <f>Criterios!A11 &amp;"  "&amp;Criterios!B11</f>
        <v>Resumenes por Partidos Judiciales  GUADALAJARA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0.13800000000000001</v>
      </c>
      <c r="I9" s="395">
        <f>IF(ISNUMBER((Tasas!C9-Datos!BE9)/Datos!BE9),(Tasas!C9-Datos!BE9)/Datos!BE9," - ")</f>
        <v>3.421450367365942E-2</v>
      </c>
      <c r="J9" s="394">
        <f>IF(ISNUMBER((Tasas!D9-Datos!BF9)/Datos!BF9),(Tasas!D9-Datos!BF9)/Datos!BF9," - ")</f>
        <v>-0.49188411957736372</v>
      </c>
      <c r="K9" s="396">
        <f>IF(ISNUMBER((Tasas!E9-Datos!BG9)/Datos!BG9),(Tasas!E9-Datos!BG9)/Datos!BG9," - ")</f>
        <v>3.7124743833913586E-2</v>
      </c>
      <c r="M9" t="e">
        <f>IF(Monitorios="SI",Datos!CE9,0)</f>
        <v>#REF!</v>
      </c>
      <c r="N9" t="e">
        <f>IF(Monitorios="SI",Datos!CF9,0)</f>
        <v>#REF!</v>
      </c>
      <c r="O9" t="e">
        <f>IF(Monitorios="SI",Datos!CG9,0)</f>
        <v>#REF!</v>
      </c>
      <c r="P9" t="e">
        <f>IF(Monitorios="SI",Datos!CH9,0)</f>
        <v>#REF!</v>
      </c>
      <c r="Q9">
        <f>IF(J_V="SI",0,Datos!AG9)</f>
        <v>201</v>
      </c>
      <c r="R9">
        <f>IF(J_V="SI",0,Datos!AH9)</f>
        <v>134</v>
      </c>
      <c r="S9">
        <f>IF(J_V="SI",0,Datos!AI9)</f>
        <v>181</v>
      </c>
      <c r="T9">
        <f>IF(J_V="SI",0,Datos!AJ9)</f>
        <v>154</v>
      </c>
    </row>
    <row r="10" spans="2:20" ht="14.25">
      <c r="B10" s="300" t="s">
        <v>317</v>
      </c>
      <c r="C10" s="7" t="str">
        <f>Datos!A10</f>
        <v>Jdos. Violencia contra la mujer</v>
      </c>
      <c r="D10" s="397">
        <f>IF(ISNUMBER((Datos!I10-Datos!S10)/Datos!S10),(Datos!I10-Datos!S10)/Datos!S10," - ")</f>
        <v>0.13333333333333333</v>
      </c>
      <c r="E10" s="393">
        <f>IF(ISNUMBER((Datos!J10-Datos!T10)/Datos!T10),(Datos!J10-Datos!T10)/Datos!T10," - ")</f>
        <v>-0.56521739130434778</v>
      </c>
      <c r="F10" s="393">
        <f>IF(ISNUMBER((Datos!K10-Datos!U10)/Datos!U10),(Datos!K10-Datos!U10)/Datos!U10," - ")</f>
        <v>1.5</v>
      </c>
      <c r="G10" s="394">
        <f>IF(ISNUMBER((Datos!L10-Datos!V10)/Datos!V10),(Datos!L10-Datos!V10)/Datos!V10," - ")</f>
        <v>-8.8050314465408799E-2</v>
      </c>
      <c r="H10" s="244">
        <f>IF(ISNUMBER((Datos!M10-Datos!W10)/Datos!W10),(Datos!M10-Datos!W10)/Datos!W10," - ")</f>
        <v>0.9</v>
      </c>
      <c r="I10" s="395">
        <f>IF(ISNUMBER((Tasas!C10-Datos!BE10)/Datos!BE10),(Tasas!C10-Datos!BE10)/Datos!BE10," - ")</f>
        <v>-0.63522012578616349</v>
      </c>
      <c r="J10" s="394">
        <f>IF(ISNUMBER((Tasas!D10-Datos!BF10)/Datos!BF10),(Tasas!D10-Datos!BF10)/Datos!BF10," - ")</f>
        <v>-0.24000000000000007</v>
      </c>
      <c r="K10" s="396">
        <f>IF(ISNUMBER((Tasas!E10-Datos!BG10)/Datos!BG10),(Tasas!E10-Datos!BG10)/Datos!BG10," - ")</f>
        <v>-0.58381502890173409</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-0.32110091743119268</v>
      </c>
      <c r="I11" s="395">
        <f>IF(ISNUMBER((Tasas!C11-Datos!BE11)/Datos!BE11),(Tasas!C11-Datos!BE11)/Datos!BE11," - ")</f>
        <v>0.11173096184781614</v>
      </c>
      <c r="J11" s="394">
        <f>IF(ISNUMBER((Tasas!D11-Datos!BF11)/Datos!BF11),(Tasas!D11-Datos!BF11)/Datos!BF11," - ")</f>
        <v>-5.5319148936170126E-2</v>
      </c>
      <c r="K11" s="396">
        <f>IF(ISNUMBER((Tasas!E11-Datos!BG11)/Datos!BG11),(Tasas!E11-Datos!BG11)/Datos!BG11," - ")</f>
        <v>8.4173459704802903E-2</v>
      </c>
      <c r="M11" t="e">
        <f>IF(Monitorios="SI",Datos!CE11,0)</f>
        <v>#REF!</v>
      </c>
      <c r="N11" t="e">
        <f>IF(Monitorios="SI",Datos!CF11,0)</f>
        <v>#REF!</v>
      </c>
      <c r="O11" t="e">
        <f>IF(Monitorios="SI",Datos!CG11,0)</f>
        <v>#REF!</v>
      </c>
      <c r="P11" t="e">
        <f>IF(Monitorios="SI",Datos!CH11,0)</f>
        <v>#REF!</v>
      </c>
      <c r="Q11">
        <f>IF(J_V="SI",0,Datos!AG11)</f>
        <v>269</v>
      </c>
      <c r="R11">
        <f>IF(J_V="SI",0,Datos!AH11)</f>
        <v>151</v>
      </c>
      <c r="S11">
        <f>IF(J_V="SI",0,Datos!AI11)</f>
        <v>57</v>
      </c>
      <c r="T11">
        <f>IF(J_V="SI",0,Datos!AJ11)</f>
        <v>363</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8</v>
      </c>
      <c r="R12">
        <f>IF(J_V="SI",0,Datos!AH12)</f>
        <v>1</v>
      </c>
      <c r="S12">
        <f>IF(J_V="SI",0,Datos!AI12)</f>
        <v>0</v>
      </c>
      <c r="T12">
        <f>IF(J_V="SI",0,Datos!AJ12)</f>
        <v>9</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1.098901098901099E-2</v>
      </c>
      <c r="I14" s="402">
        <f>IF(ISNUMBER((Tasas!C14-Datos!BE14)/Datos!BE14),(Tasas!C14-Datos!BE14)/Datos!BE14," - ")</f>
        <v>3.6958933471125451E-2</v>
      </c>
      <c r="J14" s="400">
        <f>IF(ISNUMBER((Tasas!D14-Datos!BF14)/Datos!BF14),(Tasas!D14-Datos!BF14)/Datos!BF14," - ")</f>
        <v>-0.43177513188501626</v>
      </c>
      <c r="K14" s="403">
        <f>IF(ISNUMBER((Tasas!E14-Datos!BG14)/Datos!BG14),(Tasas!E14-Datos!BG14)/Datos!BG14," - ")</f>
        <v>3.7063862064964703E-2</v>
      </c>
      <c r="M14" t="e">
        <f>IF(Monitorios="SI",Datos!CE14,0)</f>
        <v>#REF!</v>
      </c>
      <c r="N14" t="e">
        <f>IF(Monitorios="SI",Datos!CF14,0)</f>
        <v>#REF!</v>
      </c>
      <c r="O14" t="e">
        <f>IF(Monitorios="SI",Datos!CG14,0)</f>
        <v>#REF!</v>
      </c>
      <c r="P14" t="e">
        <f>IF(Monitorios="SI",Datos!CH14,0)</f>
        <v>#REF!</v>
      </c>
      <c r="Q14">
        <f>IF(J_V="SI",0,Datos!AG14)</f>
        <v>478</v>
      </c>
      <c r="R14">
        <f>IF(J_V="SI",0,Datos!AH14)</f>
        <v>286</v>
      </c>
      <c r="S14">
        <f>IF(J_V="SI",0,Datos!AI14)</f>
        <v>238</v>
      </c>
      <c r="T14">
        <f>IF(J_V="SI",0,Datos!AJ14)</f>
        <v>526</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-0.18744939271255059</v>
      </c>
      <c r="E16" s="393">
        <f>IF(ISNUMBER(
   IF(D_I="SI",(Datos!J16-Datos!T16)/Datos!T16,(Datos!J16+Datos!AD16-(Datos!T16+Datos!AL16))/(Datos!T16+Datos!AL16))
     ),IF(D_I="SI",(Datos!J16-Datos!T16)/Datos!T16,(Datos!J16+Datos!AD16-(Datos!T16+Datos!AL16))/(Datos!T16+Datos!AL16))," - ")</f>
        <v>0.26165205353022614</v>
      </c>
      <c r="F16" s="393">
        <f>IF(ISNUMBER(
   IF(D_I="SI",(Datos!K16-Datos!U16)/Datos!U16,(Datos!K16+Datos!AE16-(Datos!U16+Datos!AM16))/(Datos!U16+Datos!AM16))
     ),IF(D_I="SI",(Datos!K16-Datos!U16)/Datos!U16,(Datos!K16+Datos!AE16-(Datos!U16+Datos!AM16))/(Datos!U16+Datos!AM16))," - ")</f>
        <v>0.20083682008368201</v>
      </c>
      <c r="G16" s="394">
        <f>IF(ISNUMBER(
   IF(D_I="SI",(Datos!L16-Datos!V16)/Datos!V16,(Datos!L16+Datos!AF16-(Datos!V16+Datos!AN16))/(Datos!V16+Datos!AN16))
     ),IF(D_I="SI",(Datos!L16-Datos!V16)/Datos!V16,(Datos!L16+Datos!AF16-(Datos!V16+Datos!AN16))/(Datos!V16+Datos!AN16))," - ")</f>
        <v>-5.6778169014084508E-2</v>
      </c>
      <c r="H16" s="244">
        <f>IF(ISNUMBER((Datos!M16-Datos!W16)/Datos!W16),(Datos!M16-Datos!W16)/Datos!W16," - ")</f>
        <v>5.5401662049861496E-3</v>
      </c>
      <c r="I16" s="395">
        <f>IF(ISNUMBER((Tasas!C16-Datos!BE16)/Datos!BE16),(Tasas!C16-Datos!BE16)/Datos!BE16," - ")</f>
        <v>-0.21452955538106694</v>
      </c>
      <c r="J16" s="394">
        <f>IF(ISNUMBER((Tasas!D16-Datos!BF16)/Datos!BF16),(Tasas!D16-Datos!BF16)/Datos!BF16," - ")</f>
        <v>-0.16263379887459353</v>
      </c>
      <c r="K16" s="396">
        <f>IF(ISNUMBER((Tasas!E16-Datos!BG16)/Datos!BG16),(Tasas!E16-Datos!BG16)/Datos!BG16," - ")</f>
        <v>-0.1485701661908945</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-0.20316027088036118</v>
      </c>
      <c r="E18" s="393">
        <f>IF(ISNUMBER(
   IF(D_I="SI",(Datos!J18-Datos!T18)/Datos!T18,(Datos!J18+Datos!AD18-(Datos!T18+Datos!AL18))/(Datos!T18+Datos!AL18))
     ),IF(D_I="SI",(Datos!J18-Datos!T18)/Datos!T18,(Datos!J18+Datos!AD18-(Datos!T18+Datos!AL18))/(Datos!T18+Datos!AL18))," - ")</f>
        <v>-0.26348547717842324</v>
      </c>
      <c r="F18" s="393">
        <f>IF(ISNUMBER(
   IF(D_I="SI",(Datos!K18-Datos!U18)/Datos!U18,(Datos!K18+Datos!AE18-(Datos!U18+Datos!AM18))/(Datos!U18+Datos!AM18))
     ),IF(D_I="SI",(Datos!K18-Datos!U18)/Datos!U18,(Datos!K18+Datos!AE18-(Datos!U18+Datos!AM18))/(Datos!U18+Datos!AM18))," - ")</f>
        <v>2.4509803921568627E-2</v>
      </c>
      <c r="G18" s="394">
        <f>IF(ISNUMBER(
   IF(D_I="SI",(Datos!L18-Datos!V18)/Datos!V18,(Datos!L18+Datos!AF18-(Datos!V18+Datos!AN18))/(Datos!V18+Datos!AN18))
     ),IF(D_I="SI",(Datos!L18-Datos!V18)/Datos!V18,(Datos!L18+Datos!AF18-(Datos!V18+Datos!AN18))/(Datos!V18+Datos!AN18))," - ")</f>
        <v>-0.44083969465648853</v>
      </c>
      <c r="H18" s="244">
        <f>IF(ISNUMBER((Datos!M18-Datos!W18)/Datos!W18),(Datos!M18-Datos!W18)/Datos!W18," - ")</f>
        <v>-0.2608695652173913</v>
      </c>
      <c r="I18" s="395">
        <f>IF(ISNUMBER((Tasas!C18-Datos!BE18)/Datos!BE18),(Tasas!C18-Datos!BE18)/Datos!BE18," - ")</f>
        <v>-0.45421673545418023</v>
      </c>
      <c r="J18" s="394">
        <f>IF(ISNUMBER((Tasas!D18-Datos!BF18)/Datos!BF18),(Tasas!D18-Datos!BF18)/Datos!BF18," - ")</f>
        <v>-0.27855211150405662</v>
      </c>
      <c r="K18" s="396">
        <f>IF(ISNUMBER((Tasas!E18-Datos!BG18)/Datos!BG18),(Tasas!E18-Datos!BG18)/Datos!BG18," - ")</f>
        <v>-0.25290572869520239</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-0.18983865430827326</v>
      </c>
      <c r="E23" s="399">
        <f>IF(ISNUMBER(
   IF(D_I="SI",(Datos!J23-Datos!T23)/Datos!T23,(Datos!J23+Datos!AD23-(Datos!T23+Datos!AL23))/(Datos!T23+Datos!AL23))
     ),IF(D_I="SI",(Datos!J23-Datos!T23)/Datos!T23,(Datos!J23+Datos!AD23-(Datos!T23+Datos!AL23))/(Datos!T23+Datos!AL23))," - ")</f>
        <v>0.16610041525103814</v>
      </c>
      <c r="F23" s="399">
        <f>IF(ISNUMBER(
   IF(D_I="SI",(Datos!K23-Datos!U23)/Datos!U23,(Datos!K23+Datos!AE23-(Datos!U23+Datos!AM23))/(Datos!U23+Datos!AM23))
     ),IF(D_I="SI",(Datos!K23-Datos!U23)/Datos!U23,(Datos!K23+Datos!AE23-(Datos!U23+Datos!AM23))/(Datos!U23+Datos!AM23))," - ")</f>
        <v>0.17512508934953538</v>
      </c>
      <c r="G23" s="400">
        <f>IF(ISNUMBER(
   IF(D_I="SI",(Datos!L23-Datos!V23)/Datos!V23,(Datos!L23+Datos!AF23-(Datos!V23+Datos!AN23))/(Datos!V23+Datos!AN23))
     ),IF(D_I="SI",(Datos!L23-Datos!V23)/Datos!V23,(Datos!L23+Datos!AF23-(Datos!V23+Datos!AN23))/(Datos!V23+Datos!AN23))," - ")</f>
        <v>-0.12875536480686695</v>
      </c>
      <c r="H23" s="401">
        <f>IF(ISNUMBER((Datos!M23-Datos!W23)/Datos!W23),(Datos!M23-Datos!W23)/Datos!W23," - ")</f>
        <v>-1.0416666666666666E-2</v>
      </c>
      <c r="I23" s="402">
        <f>IF(ISNUMBER((Tasas!C23-Datos!BE23)/Datos!BE23),(Tasas!C23-Datos!BE23)/Datos!BE23," - ")</f>
        <v>-0.25859413343358073</v>
      </c>
      <c r="J23" s="400">
        <f>IF(ISNUMBER((Tasas!D23-Datos!BF23)/Datos!BF23),(Tasas!D23-Datos!BF23)/Datos!BF23," - ")</f>
        <v>-0.15789106853203563</v>
      </c>
      <c r="K23" s="403">
        <f>IF(ISNUMBER((Tasas!E23-Datos!BG23)/Datos!BG23),(Tasas!E23-Datos!BG23)/Datos!BG23," - ")</f>
        <v>-0.16631550467151526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-1.8906444168293981E-2</v>
      </c>
      <c r="E31" s="409">
        <f>IF(ISNUMBER(
   IF(J_V="SI",(Datos!J31-Datos!T31)/Datos!T31,(Datos!J31+Datos!Z31-(Datos!T31+Datos!AH31))/(Datos!T31+Datos!AH31))
     ),IF(J_V="SI",(Datos!J31-Datos!T31)/Datos!T31,(Datos!J31+Datos!Z31-(Datos!T31+Datos!AH31))/(Datos!T31+Datos!AH31))," - ")</f>
        <v>0.12237093690248566</v>
      </c>
      <c r="F31" s="409">
        <f>IF(ISNUMBER(
   IF(J_V="SI",(Datos!K31-Datos!U31)/Datos!U31,(Datos!K31+Datos!AA31-(Datos!U31+Datos!AI31))/(Datos!U31+Datos!AI31))
     ),IF(J_V="SI",(Datos!K31-Datos!U31)/Datos!U31,(Datos!K31+Datos!AA31-(Datos!U31+Datos!AI31))/(Datos!U31+Datos!AI31))," - ")</f>
        <v>8.9179351422898748E-2</v>
      </c>
      <c r="G31" s="410">
        <f>IF(ISNUMBER(
   IF(J_V="SI",(Datos!L31-Datos!V31)/Datos!V31,(Datos!L31+Datos!AB31-(Datos!V31+Datos!AJ31))/(Datos!V31+Datos!AJ31))
     ),IF(J_V="SI",(Datos!L31-Datos!V31)/Datos!V31,(Datos!L31+Datos!AB31-(Datos!V31+Datos!AJ31))/(Datos!V31+Datos!AJ31))," - ")</f>
        <v>6.5412919051512676E-3</v>
      </c>
      <c r="H31" s="411">
        <f>IF(ISNUMBER((Datos!M31-Datos!W31)/Datos!W31),(Datos!M31-Datos!W31)/Datos!W31," - ")</f>
        <v>3.5971223021582736E-3</v>
      </c>
      <c r="I31" s="408">
        <f>IF(ISNUMBER((Tasas!C31-Datos!BE31)/Datos!BE31),(Tasas!C31-Datos!BE31)/Datos!BE31," - ")</f>
        <v>-7.5871856558600251E-2</v>
      </c>
      <c r="J31" s="409">
        <f>IF(ISNUMBER((Tasas!D31-Datos!BF31)/Datos!BF31),(Tasas!D31-Datos!BF31)/Datos!BF31," - ")</f>
        <v>-0.38275624143238607</v>
      </c>
      <c r="K31" s="410">
        <f>IF(ISNUMBER((Tasas!E31-Datos!BG31)/Datos!BG31),(Tasas!E31-Datos!BG31)/Datos!BG31," - ")</f>
        <v>-5.5389631323845778E-2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0.1635541812199269</v>
      </c>
      <c r="E33" s="303">
        <f t="shared" si="1"/>
        <v>0.38503512195849776</v>
      </c>
      <c r="F33" s="303">
        <f t="shared" si="1"/>
        <v>0.68766677307977753</v>
      </c>
      <c r="G33" s="304">
        <f t="shared" si="1"/>
        <v>0.17728879361808861</v>
      </c>
      <c r="H33" s="310">
        <f t="shared" si="1"/>
        <v>0.40206797464664007</v>
      </c>
      <c r="I33" s="302">
        <f t="shared" si="1"/>
        <v>0.27863061712167453</v>
      </c>
      <c r="J33" s="303">
        <f t="shared" si="1"/>
        <v>0.15589592856855022</v>
      </c>
      <c r="K33" s="304">
        <f t="shared" si="1"/>
        <v>0.23217769923359863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hfU6yDylERxsJLJYiP/PbHvoRJPhz4mWUTEcDDxTq2Wq01FHiJus7V0xNg/pUEMFpLOAPA0tyZJPIGcvxiDag==" saltValue="CG6yGvWxe4KaQnEIlTlp3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